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threadedcomments/threadedcomment9.xml" ContentType="application/vnd.ms-excel.threaded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threadedcomments/threadedcomment10.xml" ContentType="application/vnd.ms-excel.threadedcomments+xml"/>
  <Override PartName="/xl/worksheets/sheet11.xml" ContentType="application/vnd.openxmlformats-officedocument.spreadsheetml.worksheet+xml"/>
  <Override PartName="/xl/comments11.xml" ContentType="application/vnd.openxmlformats-officedocument.spreadsheetml.comments+xml"/>
  <Override PartName="/xl/threadedcomments/threadedcomment11.xml" ContentType="application/vnd.ms-excel.threadedcomments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threadedcomments/threadedcomment12.xml" ContentType="application/vnd.ms-excel.threadedcomments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threadedcomments/threadedcomment13.xml" ContentType="application/vnd.ms-excel.threadedcomments+xml"/>
  <Override PartName="/xl/worksheets/sheet14.xml" ContentType="application/vnd.openxmlformats-officedocument.spreadsheetml.worksheet+xml"/>
  <Override PartName="/xl/comments14.xml" ContentType="application/vnd.openxmlformats-officedocument.spreadsheetml.comments+xml"/>
  <Override PartName="/xl/threadedcomments/threadedcomment14.xml" ContentType="application/vnd.ms-excel.threadedcomments+xml"/>
  <Override PartName="/xl/worksheets/sheet15.xml" ContentType="application/vnd.openxmlformats-officedocument.spreadsheetml.worksheet+xml"/>
  <Override PartName="/xl/comments15.xml" ContentType="application/vnd.openxmlformats-officedocument.spreadsheetml.comments+xml"/>
  <Override PartName="/xl/threadedcomments/threadedcomment15.xml" ContentType="application/vnd.ms-excel.threadedcomments+xml"/>
  <Override PartName="/xl/worksheets/sheet16.xml" ContentType="application/vnd.openxmlformats-officedocument.spreadsheetml.worksheet+xml"/>
  <Override PartName="/xl/comments16.xml" ContentType="application/vnd.openxmlformats-officedocument.spreadsheetml.comments+xml"/>
  <Override PartName="/xl/threadedcomments/threadedcomment16.xml" ContentType="application/vnd.ms-excel.threadedcomments+xml"/>
  <Override PartName="/xl/worksheets/sheet17.xml" ContentType="application/vnd.openxmlformats-officedocument.spreadsheetml.worksheet+xml"/>
  <Override PartName="/xl/comments17.xml" ContentType="application/vnd.openxmlformats-officedocument.spreadsheetml.comments+xml"/>
  <Override PartName="/xl/threadedcomments/threadedcomment17.xml" ContentType="application/vnd.ms-excel.threadedcomments+xml"/>
  <Override PartName="/xl/worksheets/sheet18.xml" ContentType="application/vnd.openxmlformats-officedocument.spreadsheetml.worksheet+xml"/>
  <Override PartName="/xl/comments18.xml" ContentType="application/vnd.openxmlformats-officedocument.spreadsheetml.comments+xml"/>
  <Override PartName="/xl/threadedcomments/threadedcomment18.xml" ContentType="application/vnd.ms-excel.threadedcomments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e316c4d2c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Restaurant" sheetId="1" r:id="R13ad4122e6f54c06"/>
    <x:sheet xmlns:r="http://schemas.openxmlformats.org/officeDocument/2006/relationships" name="02 E-commerce" sheetId="2" r:id="R1f0cce1f83b342cc"/>
    <x:sheet xmlns:r="http://schemas.openxmlformats.org/officeDocument/2006/relationships" name="03 Manufacturing Unit" sheetId="3" r:id="Rfe88c9ed0632494b"/>
    <x:sheet xmlns:r="http://schemas.openxmlformats.org/officeDocument/2006/relationships" name="04 Hospital" sheetId="4" r:id="Rdeb53cf3f53a4d9b"/>
    <x:sheet xmlns:r="http://schemas.openxmlformats.org/officeDocument/2006/relationships" name="05 Fintech Startup" sheetId="5" r:id="R04e9b983c3de4520"/>
    <x:sheet xmlns:r="http://schemas.openxmlformats.org/officeDocument/2006/relationships" name="06 Exporter" sheetId="6" r:id="R443087f5b8d848d0"/>
    <x:sheet xmlns:r="http://schemas.openxmlformats.org/officeDocument/2006/relationships" name="09 Salon, Spa" sheetId="7" r:id="R226f3c9cfb184ec4"/>
    <x:sheet xmlns:r="http://schemas.openxmlformats.org/officeDocument/2006/relationships" name="10 Gym, Fitness" sheetId="8" r:id="R583e5693d5274584"/>
    <x:sheet xmlns:r="http://schemas.openxmlformats.org/officeDocument/2006/relationships" name="11 Preschool, Daycare" sheetId="9" r:id="Rd637fcd97095408d"/>
    <x:sheet xmlns:r="http://schemas.openxmlformats.org/officeDocument/2006/relationships" name="12 Coaching, Tuition" sheetId="10" r:id="Rfd68b22a71d74164"/>
    <x:sheet xmlns:r="http://schemas.openxmlformats.org/officeDocument/2006/relationships" name="13 Travel Agency" sheetId="11" r:id="R4e04fc61e9e54061"/>
    <x:sheet xmlns:r="http://schemas.openxmlformats.org/officeDocument/2006/relationships" name="14 Transport, Logistics" sheetId="12" r:id="Rc7c6d7f1f6a04035"/>
    <x:sheet xmlns:r="http://schemas.openxmlformats.org/officeDocument/2006/relationships" name="15 Real Estate Brokerage" sheetId="13" r:id="Rb9f510b75d104010"/>
    <x:sheet xmlns:r="http://schemas.openxmlformats.org/officeDocument/2006/relationships" name="16 Digital Marketing" sheetId="14" r:id="R6e71b821a7ab406a"/>
    <x:sheet xmlns:r="http://schemas.openxmlformats.org/officeDocument/2006/relationships" name="17 Rooftop Solar EPC" sheetId="15" r:id="R05191e1119fb441a"/>
    <x:sheet xmlns:r="http://schemas.openxmlformats.org/officeDocument/2006/relationships" name="18 Warehouse, Cold Storage" sheetId="16" r:id="Re8219d5089484e45"/>
    <x:sheet xmlns:r="http://schemas.openxmlformats.org/officeDocument/2006/relationships" name="07 Property" sheetId="17" r:id="Rad497b23f9374c8d"/>
    <x:sheet xmlns:r="http://schemas.openxmlformats.org/officeDocument/2006/relationships" name="08 Notice response" sheetId="18" r:id="Rcfb77b79485c4c3c"/>
    <x:sheet xmlns:r="http://schemas.openxmlformats.org/officeDocument/2006/relationships" name="Start here" sheetId="19" r:id="R60df12a65bb04504"/>
    <x:sheet xmlns:r="http://schemas.openxmlformats.org/officeDocument/2006/relationships" name="Sources and boundaries" sheetId="20" r:id="Rbe6a84120e5b4c40"/>
    <x:sheet xmlns:r="http://schemas.openxmlformats.org/officeDocument/2006/relationships" name="Case review" sheetId="21" r:id="Rf8376759bded4a4c"/>
  </x:sheets>
</x:workbook>
</file>

<file path=xl/comments1.xml><?xml version="1.0" encoding="utf-8"?>
<x:comments xmlns:x="http://schemas.openxmlformats.org/spreadsheetml/2006/main">
  <x:authors>
    <x:author>tc={42916722-527E-4B19-BFCE-153505AC86F5}</x:author>
    <x:author>tc={55C77897-FBCF-4C60-9453-965B924347BD}</x:author>
    <x:author>tc={5A6E299D-4F9F-4887-83A2-BD3CC0946A44}</x:author>
    <x:author>tc={C6FE8313-0441-4F1F-B7AD-20B2CDA1AA33}</x:author>
    <x:author>tc={A981E854-6C77-4E1D-8F1E-C185F91FC703}</x:author>
    <x:author>tc={98B625B9-E3A9-469A-B17B-90ECB922DD0C}</x:author>
    <x:author>tc={9E061910-61AD-4763-9F0E-3AE3A5B24289}</x:author>
    <x:author>tc={5A790947-C55A-473C-B791-47ECD73DBBD2}</x:author>
    <x:author>tc={EBC2AFEA-2588-4AE4-B3C6-64E1AB185E4A}</x:author>
    <x:author>tc={FDB3A423-6D55-455A-AEDA-16A0E77859D8}</x:author>
    <x:author>tc={83FED310-B450-4C4E-83D9-0378569D42D7}</x:author>
    <x:author>tc={AE50BDFC-6713-45EB-8D25-519195D2A5C5}</x:author>
    <x:author>tc={173140D0-AB3D-486E-8C2A-064A0198973B}</x:author>
    <x:author>tc={748AE100-F87F-477A-972A-89678C18BE0A}</x:author>
    <x:author>tc={81DE4FAC-783B-430B-B9AB-27FF73185943}</x:author>
    <x:author>tc={FCCF294C-7EB1-49C7-BA7C-94A9ECBB2D6E}</x:author>
    <x:author>tc={1710B341-5F52-447D-8243-D75E1EE6D5A7}</x:author>
    <x:author>tc={D2E57F10-5F35-45BB-8D62-778600E62C19}</x:author>
    <x:author>tc={9F07A804-322A-41FD-B715-F92CBD98CC7B}</x:author>
    <x:author>tc={372AF242-D49F-4CFD-9531-A4D72B4B8A43}</x:author>
    <x:author>tc={1BDCC026-F209-41A7-B995-F68E42695CF5}</x:author>
    <x:author>tc={0E4E98B7-8651-4300-A368-178AD596D1F7}</x:author>
    <x:author>tc={74230856-487E-44F1-ABF6-500A4BA5B424}</x:author>
    <x:author>tc={CF449B14-D8E3-4F62-95B8-4F011F50980E}</x:author>
    <x:author>tc={DEF6B709-03F7-47D3-AF51-144408E7F7DA}</x:author>
    <x:author>tc={8B52AAA1-2439-4938-8730-67F724B62C33}</x:author>
    <x:author>tc={164C6FF2-8FDA-40BD-B9EA-808611860173}</x:author>
    <x:author>tc={5944B27A-6386-41B9-8C13-7309CF6F2B8E}</x:author>
    <x:author>tc={DC3B89C6-5131-4BAF-90CF-A1B796DB8B6F}</x:author>
    <x:author>tc={4CBE14E2-6AA1-4C41-BADE-33093DAD23E3}</x:author>
    <x:author>tc={A25204E8-AB60-4031-A4B9-CA8CB115FE62}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retained orders.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2.xml><?xml version="1.0" encoding="utf-8"?>
<x:comments xmlns:x="http://schemas.openxmlformats.org/spreadsheetml/2006/main">
  <x:authors>
    <x:author>tc={485A17E3-03D1-4C80-A7A3-DA8B83CBE09E}</x:author>
    <x:author>tc={98977346-CCF0-40B0-9A4F-DE6FF254E252}</x:author>
    <x:author>tc={AF58328F-8ACF-4564-9ABF-6DE53DD1C9C3}</x:author>
    <x:author>tc={CCABC880-A4CB-416B-BEFC-BB3AD62ABE23}</x:author>
    <x:author>tc={AD067021-72A5-4885-8BAC-3C15B4C0F544}</x:author>
    <x:author>tc={8F6B7A3B-2F0E-4B50-A84D-FC4A1A704F3A}</x:author>
    <x:author>tc={27D0C971-D065-4492-B0EE-48F197A6BC20}</x:author>
    <x:author>tc={A99D8260-C9DE-4180-8CA9-612C3A4420A2}</x:author>
    <x:author>tc={08A7E6F6-2F9F-4011-90D5-0544D7633448}</x:author>
    <x:author>tc={6A2872F3-B445-4542-94EA-7F41D45EDD2C}</x:author>
    <x:author>tc={F639889A-7197-46E8-AC4B-D400107980F1}</x:author>
    <x:author>tc={6028D605-7A58-4EC5-8BF0-E63642A49B54}</x:author>
    <x:author>tc={9B2D20D0-EC95-44DB-8F7D-F67A2BA56A24}</x:author>
    <x:author>tc={06BDA901-4A8F-41B5-BFDA-F16A59EB7C2F}</x:author>
    <x:author>tc={DDDA23AF-AE3F-4B73-A9AC-12A1070951C1}</x:author>
    <x:author>tc={A6B5C5D2-9749-4574-B91F-AB3D2A8A0FA9}</x:author>
    <x:author>tc={603211E8-78F4-45AC-812B-D0786033325E}</x:author>
    <x:author>tc={042BE7F7-E3CA-4CAC-9EBD-20819299E793}</x:author>
    <x:author>tc={CA7D7573-4866-49DA-A085-47564664EEC4}</x:author>
    <x:author>tc={B4195EC2-8A4A-4729-AA06-FC8B08E86298}</x:author>
    <x:author>tc={171F6417-9E27-4A19-B615-F452392CBE5C}</x:author>
    <x:author>tc={033B95B3-61E6-4E1A-8F8F-6E8048D6E9E7}</x:author>
    <x:author>tc={504696DB-88F2-4F12-B01B-A1568EE2EFE1}</x:author>
    <x:author>tc={8A48C0B7-9F98-4B96-888D-12693F85385E}</x:author>
    <x:author>tc={6BE7D957-64EE-4FBE-A7DF-A7B54FED8676}</x:author>
    <x:author>tc={0DF10471-F540-4D16-A87F-4B8C66B2589A}</x:author>
    <x:author>tc={B7E8C360-08ED-44B4-B08A-714A3ACFE779}</x:author>
    <x:author>tc={1F346F23-1DA1-4219-9D67-08C851EB8D60}</x:author>
    <x:author>tc={932EB00D-4EC5-47BF-AD97-49D37A7389AA}</x:author>
    <x:author>tc={9AF0956D-2AB7-448E-AE00-C3CCC03626E8}</x:author>
    <x:author>tc={D97D9440-B27B-4371-B8FA-D599CF28B660}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retained orders.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3.xml><?xml version="1.0" encoding="utf-8"?>
<x:comments xmlns:x="http://schemas.openxmlformats.org/spreadsheetml/2006/main">
  <x:authors>
    <x:author>tc={DC506BC1-C56A-4B25-91EB-EE611090D34D}</x:author>
    <x:author>tc={7A2BA465-EEEB-4EEB-A4B6-C455714D4096}</x:author>
    <x:author>tc={2393A36E-FA32-4E41-AF44-E58EA808EA77}</x:author>
    <x:author>tc={A836BAFC-AA0D-4717-A555-36537E19384F}</x:author>
    <x:author>tc={3CAF7902-E56D-48B5-86EE-245E95C951C1}</x:author>
    <x:author>tc={FF37FC75-8894-4B9B-9B9A-55B776732133}</x:author>
    <x:author>tc={4A5DD827-7FA8-49DF-A9DD-D3141F3322D1}</x:author>
    <x:author>tc={B2529CE8-16D9-441D-8E10-8734D312D4C0}</x:author>
    <x:author>tc={315BED8E-5B5A-497D-9E48-F50943D10E2D}</x:author>
    <x:author>tc={B4F58F94-799E-4502-8C61-AAEC22A6A183}</x:author>
    <x:author>tc={CE971D0B-44AB-49F3-85B1-58E22158BA2C}</x:author>
    <x:author>tc={01F28DFF-D7FE-413E-8C8D-51CCC742FACD}</x:author>
    <x:author>tc={FAC3ED9F-6961-4599-B8D1-E5C4D6442984}</x:author>
    <x:author>tc={B5D1749D-F04D-40B4-AEB6-0762913D6A35}</x:author>
    <x:author>tc={3062D866-CB6A-45C3-8443-7198B58105B4}</x:author>
    <x:author>tc={7D442800-F2D4-4956-A78A-D03DB6BEF175}</x:author>
    <x:author>tc={9F02D48A-C1F3-47EA-9A00-3E2B5DED2F6C}</x:author>
    <x:author>tc={C2ED4F02-0F48-44B7-B6B4-493A51F61424}</x:author>
    <x:author>tc={C7E04197-71F5-4649-9681-C9DF033B46C6}</x:author>
    <x:author>tc={F60DC611-5DDF-40E8-990E-D518D28B7444}</x:author>
    <x:author>tc={69A5C829-65AE-482D-8798-31936A253F9B}</x:author>
    <x:author>tc={38099AFC-A88B-4F2B-A150-D08FF36CC687}</x:author>
    <x:author>tc={45DE475A-2F20-484A-9366-159304F1076C}</x:author>
    <x:author>tc={C0D8A8F2-2B0A-478D-994F-CE249701656F}</x:author>
    <x:author>tc={D4A39333-1DEB-43E7-8C35-561CC2A49D25}</x:author>
    <x:author>tc={7D3DB221-F2D2-47CD-B6A7-841553DEAE85}</x:author>
    <x:author>tc={7F938A16-2BAF-43D2-8C0F-FCBAEEDA560A}</x:author>
    <x:author>tc={27CB6C42-E47C-42E1-AE2D-52BBDCE5C12F}</x:author>
    <x:author>tc={92D9DAB3-AECB-4E20-B717-445080F52DA9}</x:author>
    <x:author>tc={3A38908A-9D63-4FE2-ADEB-6A5BA46002BC}</x:author>
    <x:author>tc={63D778F8-D079-4287-BBC0-FE18A0CDB6B0}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saleable units.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4.xml><?xml version="1.0" encoding="utf-8"?>
<x:comments xmlns:x="http://schemas.openxmlformats.org/spreadsheetml/2006/main">
  <x:authors>
    <x:author>tc={9EC409CD-3547-4756-A6F2-5D1D56BA4BCF}</x:author>
    <x:author>tc={97F5C5F8-5F18-44CF-BAC6-D52A5F00D5E0}</x:author>
    <x:author>tc={C805800C-FCB2-4B65-B9E4-D5D58454609E}</x:author>
    <x:author>tc={1ECA5D3A-FFA7-420E-8A08-37F76C73C3E1}</x:author>
    <x:author>tc={C60ACEA5-D788-456E-A55F-A87D17814C4D}</x:author>
    <x:author>tc={D7EADA8A-42C1-4411-8708-D4941E82F68E}</x:author>
    <x:author>tc={7E4B17F8-05FC-4672-9E8C-1689FA6FB802}</x:author>
    <x:author>tc={14654B52-01A8-41E1-9401-ED31989EC183}</x:author>
    <x:author>tc={03C90375-50C1-472F-9884-A38BB55111FD}</x:author>
    <x:author>tc={88981A54-6353-4719-8A69-0678D8BAF0F7}</x:author>
    <x:author>tc={3161472C-40EE-4F7A-8E06-BC1F108A2028}</x:author>
    <x:author>tc={75AD02CD-176F-4D3B-BD68-8BACB60C065F}</x:author>
    <x:author>tc={29F41D7B-B0B6-4985-877C-CA7E8D3328F4}</x:author>
    <x:author>tc={EEC20E73-7B2C-416A-81DD-3DBC277B9AE3}</x:author>
    <x:author>tc={96787E56-9A06-43C2-9081-25FE26522B7F}</x:author>
    <x:author>tc={63D6B031-DA58-4B06-BF05-4EC20FA6C9AE}</x:author>
    <x:author>tc={A47679E5-32FE-4C9E-ADD4-E29AE383828C}</x:author>
    <x:author>tc={150494DE-45BF-46B6-BB6A-82BE8C9AE0E4}</x:author>
    <x:author>tc={F0213CB9-ECE8-48AA-AD85-3B0F75279DD0}</x:author>
    <x:author>tc={9B725C20-C123-4D64-9784-AA04EF32C4EC}</x:author>
    <x:author>tc={E5E71AC9-63CA-43B7-90DF-8C9AB01565F1}</x:author>
    <x:author>tc={B0CDD5DF-7677-47EF-9861-E915FE695B2A}</x:author>
    <x:author>tc={01DC1DFA-DE36-4B6A-8BB3-A29A0D868789}</x:author>
    <x:author>tc={3420EAF2-DB36-48FE-BD1E-BE33A279E2A1}</x:author>
    <x:author>tc={6D7D1C14-D50B-438B-B930-2DFCFA2CE8BB}</x:author>
    <x:author>tc={6AD125C7-A3B9-4DC8-8DEE-BFC26823CB0B}</x:author>
    <x:author>tc={7557272F-7A0F-4883-9F35-D8735575550F}</x:author>
    <x:author>tc={2A51CC35-D93C-4D50-9F36-8C473D27955B}</x:author>
    <x:author>tc={CFD93598-073E-4BF7-8971-32A1FE340A62}</x:author>
    <x:author>tc={A153AAE1-8236-4FFF-92E2-0C04FA76DD5E}</x:author>
    <x:author>tc={EFE42796-B7D4-47BE-86A1-614EEA0540A1}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completed encounters.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5.xml><?xml version="1.0" encoding="utf-8"?>
<x:comments xmlns:x="http://schemas.openxmlformats.org/spreadsheetml/2006/main">
  <x:authors>
    <x:author>tc={59019492-EE8E-4DE6-9E68-BEDCA648872A}</x:author>
    <x:author>tc={5B8C8384-8568-4673-A7EA-434F8307C996}</x:author>
    <x:author>tc={E9D0DB09-F8A2-4D77-9C46-F58D2CBD12A2}</x:author>
    <x:author>tc={87B2C488-1277-4DBC-AD2F-FF33B258D497}</x:author>
    <x:author>tc={205C4367-DFF6-4C00-B98C-D7EE797C3AE3}</x:author>
    <x:author>tc={B04C69BB-FBFA-4707-B497-B0F3EAD5B703}</x:author>
    <x:author>tc={6C8EEF9B-98B2-46B4-A4A6-AA246E5F0508}</x:author>
    <x:author>tc={7911BA94-D7CF-4E11-A76C-A760B9421044}</x:author>
    <x:author>tc={B7A85356-9475-4DA0-AC8E-FA22E6B9509B}</x:author>
    <x:author>tc={2677D26D-C7F5-4B3E-9906-7A1D2B629C53}</x:author>
    <x:author>tc={3DDCAD28-8456-4305-BE8B-16F9795C0B59}</x:author>
    <x:author>tc={CE72850D-69D4-4108-931F-DB8485FC7211}</x:author>
    <x:author>tc={5A2E8778-F5CA-474D-895C-4D7AE1EB347E}</x:author>
    <x:author>tc={76297A06-A0E4-4C0A-83BD-9BA10DC735D9}</x:author>
    <x:author>tc={A338E540-5553-4C6E-B067-1AD407E5CB46}</x:author>
    <x:author>tc={E10E183D-D321-4B3C-BD6C-BFA55C65B3AB}</x:author>
    <x:author>tc={D8906117-ABF3-4898-BFDD-54E515963A63}</x:author>
    <x:author>tc={40EA058D-4B9F-48C0-B46C-A39AD2FEFE45}</x:author>
    <x:author>tc={0D1FEE9B-CCDD-4BB6-B15D-AE6C1A4E903F}</x:author>
    <x:author>tc={7ACD9452-D522-458E-8E70-5B73DDD94158}</x:author>
    <x:author>tc={D81ED552-2D51-4FC7-B79C-87F7E98F0DD1}</x:author>
    <x:author>tc={F3DD7124-99B5-465D-A921-653140ACE717}</x:author>
    <x:author>tc={55407A85-4703-425E-BD20-1F0FE10577B6}</x:author>
    <x:author>tc={95C8218A-218A-4F2E-801A-B16F35E917E7}</x:author>
    <x:author>tc={AC607A7F-8566-4AD7-BF16-8078DA905B98}</x:author>
    <x:author>tc={93AB1B56-52CA-414F-BB47-A4EE44992316}</x:author>
    <x:author>tc={87F42269-6FE7-4387-90FE-B21474B12F4B}</x:author>
    <x:author>tc={CD23115B-AB26-457D-91B6-E630400F2C37}</x:author>
    <x:author>tc={20B7ACDF-F65B-4611-804D-8A870522E5C6}</x:author>
    <x:author>tc={28FD6A2F-C006-4079-A0AC-656B3660E375}</x:author>
    <x:author>tc={FE7A04CB-4CC4-4ECA-949A-509540BA5FE4}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billable transactions.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6.xml><?xml version="1.0" encoding="utf-8"?>
<x:comments xmlns:x="http://schemas.openxmlformats.org/spreadsheetml/2006/main">
  <x:authors>
    <x:author>tc={C8921B54-24AA-4F6F-986A-3FD1E7651C25}</x:author>
    <x:author>tc={FA7EE644-3F81-4A46-A3CE-D2C9D85F1783}</x:author>
    <x:author>tc={84D15678-B6AB-4155-8877-B7B1332AC415}</x:author>
    <x:author>tc={63CA2C0C-FB4D-4CB9-8253-A73C1BE8E6B5}</x:author>
    <x:author>tc={9C4085FB-9613-4496-87F9-A4E9A9CB86AD}</x:author>
    <x:author>tc={95EE06FF-176A-4FB1-A783-796EF2FED295}</x:author>
    <x:author>tc={45C8BEAE-6C99-423B-B9AE-6C4146043C10}</x:author>
    <x:author>tc={3C5122F3-67F7-4B03-BC29-55CEB1C683BE}</x:author>
    <x:author>tc={C22D2970-BFFF-41FD-BC06-7A31D557E406}</x:author>
    <x:author>tc={F035A1DA-C324-49EA-83B6-798A37CDB4EE}</x:author>
    <x:author>tc={A10AB50A-E8FB-40AE-A74A-1D9A7F208CEB}</x:author>
    <x:author>tc={A2381418-EB15-4828-B952-E5C8C4404D9C}</x:author>
    <x:author>tc={3AB17211-3D5C-4BEB-A870-8800D09BCFF5}</x:author>
    <x:author>tc={5DB46D5C-32C9-4BF8-B810-6E875493BFB1}</x:author>
    <x:author>tc={376255AD-0231-4DC4-9164-AEF99117685F}</x:author>
    <x:author>tc={6C4E8809-8509-4FE1-BD32-586F1226D64A}</x:author>
    <x:author>tc={B20A421D-4EDD-489D-B0EA-02C6E6DD2965}</x:author>
    <x:author>tc={B0F439DB-1021-4D92-905E-8D351BC9D889}</x:author>
    <x:author>tc={70EE5C9D-F299-45C6-8494-EE5E9BB1E1B0}</x:author>
    <x:author>tc={346318D9-491A-40F9-9DAC-1AFD511F7655}</x:author>
    <x:author>tc={AAE3B92F-9124-4820-92A4-920DE1335125}</x:author>
    <x:author>tc={4D644A6F-E188-4449-8CED-4EF9991A3DE0}</x:author>
    <x:author>tc={AC35A9BB-5727-4F04-9139-2E4E30DE30D2}</x:author>
    <x:author>tc={70D630FB-E091-4A20-84FA-765309655E17}</x:author>
    <x:author>tc={D44D28A3-A708-4D5F-87B0-2C599BCD2547}</x:author>
    <x:author>tc={B6283042-15BB-4E94-8887-CA4879B9C951}</x:author>
    <x:author>tc={D853788C-5967-4A48-BEE3-64154C1071A1}</x:author>
    <x:author>tc={0FEFA9EA-14C9-4D1A-B5CB-A860493754D4}</x:author>
    <x:author>tc={03F3086C-1429-4682-B221-A8F207DF206C}</x:author>
    <x:author>tc={C2209B13-F918-41CB-AC35-754E000F0D4F}</x:author>
    <x:author>tc={E133B7CB-F2C2-471E-9A54-DD0607486163}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completed shipments.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7.xml><?xml version="1.0" encoding="utf-8"?>
<x:comments xmlns:x="http://schemas.openxmlformats.org/spreadsheetml/2006/main">
  <x:authors>
    <x:author>tc={C387D6BC-7466-4829-8D91-AFE1719863BA}</x:author>
    <x:author>tc={F2A4B532-0712-4691-8308-9DCAA88CDBE5}</x:author>
    <x:author>tc={4DEAC1F2-434F-4152-9CE3-A579B4ACACC0}</x:author>
    <x:author>tc={F9D7B40B-4184-4C2A-92E4-73F7331B7DB6}</x:author>
    <x:author>tc={144E6E45-C9D8-4DB6-9B10-7B7A3B59A439}</x:author>
    <x:author>tc={CE09B560-7E12-4984-B67D-35D1A729F8F6}</x:author>
    <x:author>tc={11C1FCC6-4D3C-462C-A860-8CEF3CD0B417}</x:author>
    <x:author>tc={B071855A-2593-4EDB-BAB5-FA2FB794C1A8}</x:author>
    <x:author>tc={2D4561C8-7829-4C38-9203-36220E68F60A}</x:author>
    <x:author>tc={E2F97EEE-BA41-471E-8181-098F40C9BC67}</x:author>
    <x:author>tc={331E1D3E-8500-4FE6-896C-53D84D5F6306}</x:author>
    <x:author>tc={20CF61E6-9CE9-4B23-A9D6-A0F3F8F54DA7}</x:author>
    <x:author>tc={4681DE1C-FE99-43EB-9560-5629816E052A}</x:author>
    <x:author>tc={9E45B523-97C8-4FCF-866F-B5F183A9333A}</x:author>
    <x:author>tc={768A955F-7988-4883-BF66-2E8E57BB0152}</x:author>
    <x:author>tc={9565EE19-D1AE-443A-A2F9-6622C929F8AD}</x:author>
    <x:author>tc={06083CB0-46B4-4D55-B49B-4607B7EF9BA2}</x:author>
    <x:author>tc={5BD4856E-99C4-4476-BA0E-4B2C04B9788E}</x:author>
    <x:author>tc={32D2D74E-E7C5-463E-A9E9-AC30CA2D4424}</x:author>
    <x:author>tc={C2C8DD30-746C-4598-8CDB-0F8F9B4E0D45}</x:author>
    <x:author>tc={2E988221-0EEA-4B4D-857D-5E6384ED4545}</x:author>
    <x:author>tc={667A3957-6860-4BCA-A821-AC3ED5FD3EDE}</x:author>
    <x:author>tc={A27AAC1A-E571-4CDD-A4EE-0241E1BE0970}</x:author>
    <x:author>tc={0BE810A4-5FD3-4CDF-89FC-9A7978CECF8B}</x:author>
    <x:author>tc={F840CFC0-0D60-40AD-A645-C446C1BDC035}</x:author>
    <x:author>tc={DE758C67-2051-4F9F-81E1-B8E11E3979B4}</x:author>
    <x:author>tc={1663FD3D-6487-467F-A0CD-CE58C2921D81}</x:author>
    <x:author>tc={B3BF4E6F-DCAB-4A57-A362-634AA64C3970}</x:author>
    <x:author>tc={956F2DCF-122A-42C1-BE3D-F8565AEA2B6A}</x:author>
    <x:author>tc={C721B86B-5F92-4443-A26C-8792519628BD}</x:author>
    <x:author>tc={8F12FCDC-593D-4BD8-8658-57B2F84F08DE}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completed appointments.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8.xml><?xml version="1.0" encoding="utf-8"?>
<x:comments xmlns:x="http://schemas.openxmlformats.org/spreadsheetml/2006/main">
  <x:authors>
    <x:author>tc={EF87E6B0-4D6C-4762-8378-0ED38DC0DC60}</x:author>
    <x:author>tc={7AFD201B-13FF-4AC4-9136-9F94D72F3E0E}</x:author>
    <x:author>tc={6BB7457A-8668-428D-AC6D-75AE92D90631}</x:author>
    <x:author>tc={824882F4-35C8-4CEB-BA59-37D3BDA18D63}</x:author>
    <x:author>tc={779804AF-DD99-4466-A762-14BA93FB9322}</x:author>
    <x:author>tc={1D36E543-EBCF-428F-A3B7-BB1AB786FD90}</x:author>
    <x:author>tc={C1632A08-D798-4D0A-BE17-5704B1328567}</x:author>
    <x:author>tc={D85ABD50-4FC0-4879-87BF-AB9E00355211}</x:author>
    <x:author>tc={6D10359B-1D59-4CC2-BC5F-EAE936FD8BD4}</x:author>
    <x:author>tc={752AA762-36C6-4BE5-9894-A1E27E670E07}</x:author>
    <x:author>tc={A1E6E71D-E934-4DE9-BF5C-F279A314B9FC}</x:author>
    <x:author>tc={371EA5F6-9F17-426B-AEBF-FD99C135642E}</x:author>
    <x:author>tc={80648772-A95D-44C1-97DE-9A6D641CE121}</x:author>
    <x:author>tc={798C9034-9545-4100-B4BA-9DD71BD1E988}</x:author>
    <x:author>tc={4862FFDA-9CB3-42BC-94A5-7F0A95F95564}</x:author>
    <x:author>tc={3B7D3BA8-21CC-4C5D-88DD-06CFDAC3FE1E}</x:author>
    <x:author>tc={28976436-C5E4-47FF-AAA3-07EC25793715}</x:author>
    <x:author>tc={29D54CF3-56D6-437E-B63F-F264EDFD8BA1}</x:author>
    <x:author>tc={7F1C1FB2-6F8C-4FED-BA3F-CBE2CFA34FF8}</x:author>
    <x:author>tc={8B1E9F10-19B4-4456-84D7-9E96DD2FE58A}</x:author>
    <x:author>tc={E9C0FD78-16BB-4950-859F-0B60B4F747CA}</x:author>
    <x:author>tc={B64549F5-6C20-459C-9743-014AF300A556}</x:author>
    <x:author>tc={20F5E24B-943E-4FA0-8970-BBF0F3AFBD55}</x:author>
    <x:author>tc={EF76B4CE-3054-4532-834A-663704D55161}</x:author>
    <x:author>tc={F35A8CEA-E292-40A6-A9F1-2A2AB12328C7}</x:author>
    <x:author>tc={405FC978-8434-424E-AB6B-437B56FADE50}</x:author>
    <x:author>tc={AA9E32AC-44B0-45A1-B5CB-2A5880FA1426}</x:author>
    <x:author>tc={52B17764-70FC-4AFD-ABF1-592838D3B88A}</x:author>
    <x:author>tc={EBACE182-0C2C-41E6-A7E8-89F70376DB4E}</x:author>
    <x:author>tc={5C6952DC-19A4-4ED9-A4F3-B13538E6D607}</x:author>
    <x:author>tc={082B6601-7308-42FF-8D3D-0F85AADD29AF}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active member-months.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9.xml><?xml version="1.0" encoding="utf-8"?>
<x:comments xmlns:x="http://schemas.openxmlformats.org/spreadsheetml/2006/main">
  <x:authors>
    <x:author>tc={DC7CE5C5-A0A8-4E60-8A9B-47A712394D8A}</x:author>
    <x:author>tc={99247B95-00E7-4628-B252-D8A9624E57A4}</x:author>
    <x:author>tc={387CC486-EF41-4120-8211-29B617830F85}</x:author>
    <x:author>tc={26291ABE-7C9B-4138-A21E-3FB8A2D10BE9}</x:author>
    <x:author>tc={09471CFF-AB5D-4D87-A3DE-90AC6746DC9A}</x:author>
    <x:author>tc={ABF48855-A64D-4709-AB13-284D9C8833A6}</x:author>
    <x:author>tc={52F26B52-E4D3-46F1-A83D-211F9A56F670}</x:author>
    <x:author>tc={6B8C1EC9-1A44-448D-BD40-7A16DED1AFF9}</x:author>
    <x:author>tc={5826E5F3-21BC-4E20-8D15-4635E1DC9411}</x:author>
    <x:author>tc={D833578C-1AA4-426D-8500-182D644A0CF7}</x:author>
    <x:author>tc={A6F5490C-E7ED-431B-ACEC-9E353353582B}</x:author>
    <x:author>tc={29BCDD99-F53D-46D9-B0CC-10D6D8618AC7}</x:author>
    <x:author>tc={4A73E702-D946-4817-AC25-15A006FAB2E7}</x:author>
    <x:author>tc={EEA06BA4-C586-4242-BF5C-25DEFDC519A5}</x:author>
    <x:author>tc={410DDB2C-99CD-4C73-AB58-E8B9D5F0723B}</x:author>
    <x:author>tc={48340EAD-3939-4563-8453-3864A0C41E5E}</x:author>
    <x:author>tc={4D442D95-54EC-4379-932D-44FE8AEA5255}</x:author>
    <x:author>tc={4015A8A2-6AC4-4137-8D70-0193DF42A4CC}</x:author>
    <x:author>tc={750A2A07-A618-4052-8D00-53FF2013D5F4}</x:author>
    <x:author>tc={32A8693B-A697-49DA-A29F-C2F6845DE16F}</x:author>
    <x:author>tc={507AA0B7-1720-411B-AD80-1912CC6D1A7D}</x:author>
    <x:author>tc={44081E70-2371-40F2-A84A-F9346863F333}</x:author>
    <x:author>tc={94540760-C1DA-4019-8418-9C4077D3E186}</x:author>
    <x:author>tc={EC8E09F3-AD2E-4662-BD8F-0F006830A628}</x:author>
    <x:author>tc={BAD71503-6ED9-456A-B8E0-3E05135CE866}</x:author>
    <x:author>tc={E592F5BE-B2A3-4F69-90C4-681FF8DCD42C}</x:author>
    <x:author>tc={87DD6D78-EF5B-4C03-9E7C-7F818AB5058E}</x:author>
    <x:author>tc={FE4C02D5-9FAE-4CE1-9AEB-43AD90296105}</x:author>
    <x:author>tc={4C704B5D-4A91-49B5-BB14-5DF7AABA061A}</x:author>
    <x:author>tc={E1EA4782-512D-4172-A21F-801EB2DC8495}</x:author>
    <x:author>tc={DB1D7C67-C63B-49C2-B164-179C91C72F2B}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occupied child-months.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0.xml><?xml version="1.0" encoding="utf-8"?>
<x:comments xmlns:x="http://schemas.openxmlformats.org/spreadsheetml/2006/main">
  <x:authors>
    <x:author>tc={5F0962C3-EAA9-4860-A59D-60119267B744}</x:author>
    <x:author>tc={75866E7B-5901-4D93-AF6C-0A92A8BB2F74}</x:author>
    <x:author>tc={5799329F-C82C-400B-A847-4C8BD91C6B50}</x:author>
    <x:author>tc={6317925A-43F4-4494-87A6-95C937350238}</x:author>
    <x:author>tc={F5E975E8-AD4C-48BC-A5FC-665BA5E06BE2}</x:author>
    <x:author>tc={A8A93F43-CBB0-4709-94BC-3491CA80A2CC}</x:author>
    <x:author>tc={E34BED8B-9048-409B-BA93-51150886A274}</x:author>
    <x:author>tc={72D3CABB-2E12-48CC-BE57-FF7496F6804D}</x:author>
    <x:author>tc={0CFF5909-3974-4C7C-AC5D-4E6852D271D0}</x:author>
    <x:author>tc={060DB333-A6E8-48FA-956B-5FCCEA6A256A}</x:author>
    <x:author>tc={56CFD2A5-8158-475E-94D5-F452DFE856C6}</x:author>
    <x:author>tc={30EAB654-C285-4D89-8EA1-EB8699F2E15F}</x:author>
    <x:author>tc={4CA89BDF-A2FC-458C-A3AC-DA59429AAC7F}</x:author>
    <x:author>tc={B407112C-A822-40EF-8A38-DDFED11CF96E}</x:author>
    <x:author>tc={08B7AA4C-D8EE-49D9-9979-71EF07627AAE}</x:author>
    <x:author>tc={EFB5072A-85E9-4FDA-96A5-A716C4E7DD51}</x:author>
    <x:author>tc={6D225EED-E023-4A3F-B368-45EDF16BA578}</x:author>
    <x:author>tc={68B1089F-EA9A-4AB9-AA55-FA9FCA313A0E}</x:author>
    <x:author>tc={6D69D418-D776-4748-95F7-EC8A983E17C1}</x:author>
    <x:author>tc={ED69A999-349F-4C4F-9A39-71A2A691BC0B}</x:author>
    <x:author>tc={80E61237-2E6B-4DE1-B21A-D3EF9C7CD454}</x:author>
    <x:author>tc={C7C21713-3AAF-4FA6-AD76-E8E61FDB162B}</x:author>
    <x:author>tc={C4857708-A84E-4C8C-B8E3-1E245C06C3A5}</x:author>
    <x:author>tc={7895107A-8412-4996-8027-1E928253F7C0}</x:author>
    <x:author>tc={7012DE14-48AD-453D-8793-28013603690A}</x:author>
    <x:author>tc={E0AC85EF-BA48-4C39-8077-B6AC7B1F315D}</x:author>
    <x:author>tc={7602A65C-30C7-449B-8C20-0E987137D0CC}</x:author>
    <x:author>tc={E8445D6A-958D-45FA-9085-583D3E7CBAB8}</x:author>
    <x:author>tc={083AF33D-D5D1-4C6B-935A-3D07EBA30C0C}</x:author>
    <x:author>tc={1AE467A4-98A1-4AF8-B314-6B84AA9C2813}</x:author>
    <x:author>tc={0E42C92D-E1D4-4056-B27E-17E213F1F822}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active learner-months.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1.xml><?xml version="1.0" encoding="utf-8"?>
<x:comments xmlns:x="http://schemas.openxmlformats.org/spreadsheetml/2006/main">
  <x:authors>
    <x:author>tc={BEF3D5A7-B4B7-4E8F-B4F9-3BC141F438F1}</x:author>
    <x:author>tc={CCE99EAC-A103-4841-A37C-97B0683158AB}</x:author>
    <x:author>tc={B30CE400-2BEC-41E5-B6AE-F28FB00B9512}</x:author>
    <x:author>tc={4C3B52DA-020D-447D-8CC4-8BA407F06590}</x:author>
    <x:author>tc={B1D7BBBF-938B-4FE9-B40B-4684B1563715}</x:author>
    <x:author>tc={493F29A5-73B1-481C-AC5D-7BF383B52303}</x:author>
    <x:author>tc={9733ADD4-1C27-44BF-B38F-AF2DDDBC18C1}</x:author>
    <x:author>tc={541F5672-0418-48D4-B069-5D60B25CB6FA}</x:author>
    <x:author>tc={6BF94045-54C3-4DE6-91C6-23CE40619200}</x:author>
    <x:author>tc={52B19D7F-35DB-425E-A5E8-0CE1F8175A29}</x:author>
    <x:author>tc={62544776-AA55-48E0-8DBA-181585780B41}</x:author>
    <x:author>tc={2F592FBC-017D-4476-903D-959AFA9EBB86}</x:author>
    <x:author>tc={24527858-CD6B-4FC2-9F23-D1B7F871025A}</x:author>
    <x:author>tc={9D8F4F39-3B0B-40F2-AD84-7A45BE290EC6}</x:author>
    <x:author>tc={2ECAFEB0-5E31-4F32-942F-EA985BA403BB}</x:author>
    <x:author>tc={45E31DB5-A6C8-469F-916A-17F2316A7EE2}</x:author>
    <x:author>tc={41DD4A09-E699-4A17-84E3-A7F7DCBB642F}</x:author>
    <x:author>tc={F3485778-79E6-4651-93DF-F0980890EDF0}</x:author>
    <x:author>tc={3D290739-3818-443B-86D0-A7E9788059A4}</x:author>
    <x:author>tc={1530B5FB-FB85-4D40-98B8-963CA9255B4A}</x:author>
    <x:author>tc={93B059F4-F2E5-45DD-9A98-1A256A84CD4E}</x:author>
    <x:author>tc={0E319EEF-BBEE-4170-938E-8FAFEBF9577A}</x:author>
    <x:author>tc={5285A821-C630-4959-9042-3A1512AE4E30}</x:author>
    <x:author>tc={763D1435-9955-48C4-9FB4-CD9ACDF5C5DE}</x:author>
    <x:author>tc={0560CD4D-43C5-465A-895A-3F793DF897F5}</x:author>
    <x:author>tc={C9645AF6-25E4-49B9-9850-690011940EFC}</x:author>
    <x:author>tc={1559CE80-9FC1-4E03-9A9A-E88EEFB510A8}</x:author>
    <x:author>tc={852D3DF8-9E59-486C-96E8-E86C61A1A695}</x:author>
    <x:author>tc={C3BE98C7-0215-4142-8531-B359C60942D2}</x:author>
    <x:author>tc={3F8158E0-8B7D-4DBE-B57E-6A4EEDC23B1B}</x:author>
    <x:author>tc={7E2F901F-FF65-4BB5-9D75-BDF1FB2992E0}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completed bookings.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2.xml><?xml version="1.0" encoding="utf-8"?>
<x:comments xmlns:x="http://schemas.openxmlformats.org/spreadsheetml/2006/main">
  <x:authors>
    <x:author>tc={B32227A2-741C-40E7-ADEC-984F31458F01}</x:author>
    <x:author>tc={CDF79F98-875F-41A0-B706-8004D02D09B4}</x:author>
    <x:author>tc={8837D2B8-0840-4064-B18F-BE73F15BCE6E}</x:author>
    <x:author>tc={551590BE-BBF5-48A7-9E3A-1950FBE0412A}</x:author>
    <x:author>tc={68FDFC01-0288-42B1-8FB1-51BA6379B278}</x:author>
    <x:author>tc={8AC89DF8-F5FF-48B1-A72F-6147A08B5ABC}</x:author>
    <x:author>tc={D8D847B0-DDF2-473F-A229-623F48D0A12E}</x:author>
    <x:author>tc={589FD416-90E4-4AF8-8F32-CA0E382A5404}</x:author>
    <x:author>tc={7E4F7AB0-3FE8-48EB-AB41-7147EE3BA21A}</x:author>
    <x:author>tc={FD2BA2B2-1BCE-4143-8A47-F78E70A123F2}</x:author>
    <x:author>tc={2AA27445-228D-4F01-9EE5-D35770E5FB81}</x:author>
    <x:author>tc={CD2B74A8-75F7-4AFE-8054-A699E1F9E423}</x:author>
    <x:author>tc={1FA632BF-BD32-4ACE-84CF-51C5097AC9E7}</x:author>
    <x:author>tc={48055859-2B7B-4B3F-9D18-FAC84739A5FF}</x:author>
    <x:author>tc={01127947-C476-41E5-9FCD-9152CCE5CE52}</x:author>
    <x:author>tc={5D9B868A-EC3D-416A-AB07-8DD67717C08C}</x:author>
    <x:author>tc={7868EE68-E010-4911-8F95-21ED5AA9ED80}</x:author>
    <x:author>tc={FDF933B4-6B5E-432E-BA48-767D8C9535F6}</x:author>
    <x:author>tc={08CCE748-B629-4A31-B13B-C28148A69731}</x:author>
    <x:author>tc={C00E89E5-7703-425B-8C4E-55F4F3D97536}</x:author>
    <x:author>tc={FF07D8C8-DBDE-4597-95CC-16F97703E329}</x:author>
    <x:author>tc={A36C347F-1B8A-4064-9497-7C44A6A510A7}</x:author>
    <x:author>tc={8DB18814-CCF6-4860-A5F3-1DDA1CD92066}</x:author>
    <x:author>tc={5C797E7D-8935-4739-BF00-113398E9D3CF}</x:author>
    <x:author>tc={FC6E4A61-E077-4E6F-877B-73E27A24D789}</x:author>
    <x:author>tc={E12D148F-9100-4BDF-A448-DECC2745B0FD}</x:author>
    <x:author>tc={579FEEC1-D64F-4CF3-A914-29E2CE8D77A8}</x:author>
    <x:author>tc={B595E88F-7462-413A-A24E-A41CEC8643E0}</x:author>
    <x:author>tc={D8028A51-4720-4AF3-9DE9-9E83F580E11B}</x:author>
    <x:author>tc={B875D422-2369-44D8-9133-C663454DDD8D}</x:author>
    <x:author>tc={099050AB-1CD5-400E-82C3-0B2FB1B13E54}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billable kilometres.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3.xml><?xml version="1.0" encoding="utf-8"?>
<x:comments xmlns:x="http://schemas.openxmlformats.org/spreadsheetml/2006/main">
  <x:authors>
    <x:author>tc={425CC87D-B780-4584-8DBF-BE1C29FA306F}</x:author>
    <x:author>tc={6ADAB47A-9371-47D9-8CD9-9E014A331E78}</x:author>
    <x:author>tc={677B1126-E684-4FD0-BC20-7E6A12F4772A}</x:author>
    <x:author>tc={FAEEBA8F-CEC7-482D-80B9-7DAE2487C967}</x:author>
    <x:author>tc={00595D69-E27C-4115-ADAC-818E232EFE38}</x:author>
    <x:author>tc={C7AE6637-C1D7-45FB-B3A8-8B54B657A8FE}</x:author>
    <x:author>tc={252B0867-CF5D-407D-805E-8B03442C6F9F}</x:author>
    <x:author>tc={E9077220-09CC-4B1F-9268-DA38149AE8FE}</x:author>
    <x:author>tc={0A2DD853-ED2C-408C-AB36-02967714CC8D}</x:author>
    <x:author>tc={8C5BD9BF-F8E7-4BCF-81E0-AF21D019C580}</x:author>
    <x:author>tc={84D80369-F685-4700-AFDA-6F58F8A643C3}</x:author>
    <x:author>tc={4E1EBECB-9AA8-4AF0-A461-B13DF795194A}</x:author>
    <x:author>tc={8643E990-69FC-46F7-8160-91F978E5D08D}</x:author>
    <x:author>tc={331EFF00-C876-4EED-AB0B-9D9A8C723247}</x:author>
    <x:author>tc={F36DC84C-6F66-429C-B600-8F2BCAE68BF0}</x:author>
    <x:author>tc={BCE2540D-9931-435B-84B8-8ED05532B846}</x:author>
    <x:author>tc={17FE6E17-C33A-41DC-ADCD-CFCF7AA580CE}</x:author>
    <x:author>tc={7A96FFAF-BF8F-418B-B4FA-F33AE7124767}</x:author>
    <x:author>tc={875033BE-ED45-4068-8103-4412BB5B77E9}</x:author>
    <x:author>tc={E39FFF06-F54D-428D-B956-CFA7D8A8C25C}</x:author>
    <x:author>tc={FE414F13-D0CF-4FF3-96F0-9B89D39A7F53}</x:author>
    <x:author>tc={E50D8AC2-08C8-45D3-A523-E40FB9CC1AF2}</x:author>
    <x:author>tc={59360EC8-43B8-4A0B-BAED-53F1CF3949F6}</x:author>
    <x:author>tc={00213AA1-486F-4592-AFF8-89D9C4065F8A}</x:author>
    <x:author>tc={F6705E99-9A0E-4FE4-94D4-B2E7915B01D6}</x:author>
    <x:author>tc={9E646C78-7A89-4B4B-BB08-4CB72E6F33E9}</x:author>
    <x:author>tc={565AE68E-6329-43DF-8638-08BC374D8AA9}</x:author>
    <x:author>tc={65038DD4-2445-4CBC-8B20-798613766FA7}</x:author>
    <x:author>tc={6C4149B8-940A-41BF-A13A-596B2E9CE04F}</x:author>
    <x:author>tc={3E8E45F3-4247-453E-96FE-5876622349EB}</x:author>
    <x:author>tc={2FC05942-40C1-4819-860B-0209F6E18042}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completed mandates.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4.xml><?xml version="1.0" encoding="utf-8"?>
<x:comments xmlns:x="http://schemas.openxmlformats.org/spreadsheetml/2006/main">
  <x:authors>
    <x:author>tc={78FC985D-90C9-48D0-BF38-3DCB31691B29}</x:author>
    <x:author>tc={6680896A-8C2F-413C-B2DC-72316D7C9816}</x:author>
    <x:author>tc={F969D5C7-54DF-493B-BF47-604AEFFF667D}</x:author>
    <x:author>tc={029F3C68-D714-4826-9FF0-4B1B426583A3}</x:author>
    <x:author>tc={1383C62F-D97D-4B20-8970-0D2F32324AE4}</x:author>
    <x:author>tc={50027AF9-219F-4870-8137-87FF918E3024}</x:author>
    <x:author>tc={37AA6E3E-4135-4FE9-A512-3FC2E130BB6E}</x:author>
    <x:author>tc={FF5A8ABB-2EC9-459E-9179-F403CD4AD287}</x:author>
    <x:author>tc={C725B3BC-809E-477C-80BD-F95E6F9EB66C}</x:author>
    <x:author>tc={9F5FFDDC-A01D-47E3-81ED-5A51833996C7}</x:author>
    <x:author>tc={8955D2A4-404F-482C-8DDA-48105891F4D4}</x:author>
    <x:author>tc={652EA343-0BC4-4B28-9AEA-56A5EE3719B6}</x:author>
    <x:author>tc={700D9F8C-0ED9-40FF-B270-F5589625BBF6}</x:author>
    <x:author>tc={E33A1DEF-14C5-4628-BD5D-324BAA76D104}</x:author>
    <x:author>tc={DAC1A8A9-2E52-41D3-AA3F-AB325AA3B520}</x:author>
    <x:author>tc={DAE16245-7BFB-4C2A-82AF-32C6BC24D6C8}</x:author>
    <x:author>tc={1E1E95E8-955B-4C9D-9E49-5EDD8B0F396F}</x:author>
    <x:author>tc={5BB7BBDF-6F2F-4828-91D3-48D3BF9AAAE2}</x:author>
    <x:author>tc={F9802D41-2B39-4E17-9A9D-A038DCF7E749}</x:author>
    <x:author>tc={65ACDA67-0947-45F9-BEAE-739EF6BEC635}</x:author>
    <x:author>tc={B4D452EC-D54B-4AB2-87CC-EB2798047EC8}</x:author>
    <x:author>tc={90B7F042-5DDF-47DF-A866-22823A1F0F14}</x:author>
    <x:author>tc={E9941100-CFDF-48BD-84DA-CB6E4AD7EAFF}</x:author>
    <x:author>tc={8DB2FBEC-ECEF-43F5-B8F9-DE660E877EF9}</x:author>
    <x:author>tc={10E4FBBD-AF7E-46E3-BA72-51445A23B263}</x:author>
    <x:author>tc={483FCEB4-91B5-4B0B-B6CD-86ABF45E23B1}</x:author>
    <x:author>tc={52D1E9BA-1267-484C-A85F-5EEEE50FFED0}</x:author>
    <x:author>tc={1155EE7F-81AD-4EEA-88D0-90578CCC2352}</x:author>
    <x:author>tc={9EF13703-E275-4E4D-A37A-7D230201F06C}</x:author>
    <x:author>tc={57270614-8057-421E-B307-AC77CC39989A}</x:author>
    <x:author>tc={CFAD524F-EB06-456F-A9DE-EF967912964C}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active retainer-months.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5.xml><?xml version="1.0" encoding="utf-8"?>
<x:comments xmlns:x="http://schemas.openxmlformats.org/spreadsheetml/2006/main">
  <x:authors>
    <x:author>tc={58866486-CF0D-4BC1-BB2E-14845762B56E}</x:author>
    <x:author>tc={1D258602-9F1C-43EF-A678-CE75AE49A0A8}</x:author>
    <x:author>tc={8A4D05F9-D68A-4CCA-9B1F-4193C8EA5A53}</x:author>
    <x:author>tc={987F1BF8-3E2D-4DE5-90C2-2CCAE5161E05}</x:author>
    <x:author>tc={14267A88-9DCD-4669-897A-8A94E6D10E13}</x:author>
    <x:author>tc={83BC778D-761D-476D-93E9-6F87511CCB6C}</x:author>
    <x:author>tc={EB9AB819-9A49-466E-94F0-AEE67A0FC4FE}</x:author>
    <x:author>tc={E7D53104-2B10-49A5-A3FA-48902B840425}</x:author>
    <x:author>tc={9BA8C503-7CFB-43C9-83E1-BBC4945569BD}</x:author>
    <x:author>tc={7598EDF9-C0AD-4B34-A302-32057225EB64}</x:author>
    <x:author>tc={BF8CA89F-7792-46B2-9380-BC883083A2B2}</x:author>
    <x:author>tc={67C3A12D-9D7A-4C69-BE77-1AF891978F7D}</x:author>
    <x:author>tc={A1FFB164-1CFA-44A9-AF51-960DCC287E36}</x:author>
    <x:author>tc={AC6EFA14-960C-43E0-AF61-3BB6A09DE04B}</x:author>
    <x:author>tc={1E8E1A98-2540-4BB0-88E2-1B2CB519DD60}</x:author>
    <x:author>tc={751A7AF5-BF4A-4F2C-A105-70AB4380A19F}</x:author>
    <x:author>tc={AC0642C0-23FE-4F45-BA75-839CEEC85C26}</x:author>
    <x:author>tc={9B7EBB54-09CB-438A-9887-0DB7FB0A2039}</x:author>
    <x:author>tc={9FDB93C2-67D9-4004-8437-762DB1F19FB6}</x:author>
    <x:author>tc={2061987F-43B2-48A9-A625-697A0D36B01C}</x:author>
    <x:author>tc={A7C9BFC5-215E-4E23-8DC0-012682E5F651}</x:author>
    <x:author>tc={0A06938F-38D1-46ED-B100-68DCC4DCB9E4}</x:author>
    <x:author>tc={176BD5ED-5687-4328-BB32-6A0696EFDCCA}</x:author>
    <x:author>tc={EDB9C5CA-D432-4E3C-A84B-580FE0055840}</x:author>
    <x:author>tc={CE84E40A-CBB8-4DD2-88CB-DA6B6403DBE0}</x:author>
    <x:author>tc={3D771C69-E603-4E01-A384-4CCBF38E1CDE}</x:author>
    <x:author>tc={12642B7F-24D0-4C79-8CAE-FB6FDB71D070}</x:author>
    <x:author>tc={0BE111D6-EC6A-4293-9D52-8F48C886C925}</x:author>
    <x:author>tc={331F26F9-720E-44E4-9A42-663B1557A3E1}</x:author>
    <x:author>tc={F95D55FC-8380-4591-AA54-A92DCE99453C}</x:author>
    <x:author>tc={1D9FE0E0-412A-4969-963B-CDFA1C84F335}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accepted installed kW.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6.xml><?xml version="1.0" encoding="utf-8"?>
<x:comments xmlns:x="http://schemas.openxmlformats.org/spreadsheetml/2006/main">
  <x:authors>
    <x:author>tc={3FF28AB1-C750-4A76-9236-E8B7216796FF}</x:author>
    <x:author>tc={AAEDDF10-BCDE-4FD7-8317-352127ECF997}</x:author>
    <x:author>tc={AB79FE64-454C-4C55-B743-BF0FD4005979}</x:author>
    <x:author>tc={B717502A-294A-425F-BB35-DC2724BFD508}</x:author>
    <x:author>tc={49ADB1EB-5040-4E57-809D-8B41774BD995}</x:author>
    <x:author>tc={2D589DCF-5A4B-428E-991C-21EA4296DC2F}</x:author>
    <x:author>tc={2D72450C-CFA1-4FD9-B605-8811A346E284}</x:author>
    <x:author>tc={484CFAAA-76EC-4F3E-9D40-0A5F39C16C41}</x:author>
    <x:author>tc={E62FE758-E578-457E-924C-63127CCC08DA}</x:author>
    <x:author>tc={E8601245-CFD4-4E35-8F94-A5CCCF7ED3BF}</x:author>
    <x:author>tc={A8D6F789-83FF-41F4-AC73-8D145BA070D7}</x:author>
    <x:author>tc={6C8D9AFD-E834-4FA0-82BA-2DC335A306F3}</x:author>
    <x:author>tc={B0002DC0-4117-4BC0-BEF2-7D75CFD9633A}</x:author>
    <x:author>tc={7ABFC918-261A-484E-9B91-E702ABF07CB3}</x:author>
    <x:author>tc={38A0B523-9F07-4CC2-A40A-EA7A76082D24}</x:author>
    <x:author>tc={70D8372D-3FCD-4752-A34B-243A3A054D7E}</x:author>
    <x:author>tc={D44920BD-2130-42EE-BCEF-B272BD410AD9}</x:author>
    <x:author>tc={9E52022B-22CA-4A19-AEDF-DDB54CCB2704}</x:author>
    <x:author>tc={BCA98892-02EB-4DE6-A9F2-0EF9CA0585B9}</x:author>
    <x:author>tc={B11044D7-CDE7-4B5D-8DC9-A9F38A568133}</x:author>
    <x:author>tc={0E499A85-BBEE-4FBA-80B9-272DC006215E}</x:author>
    <x:author>tc={68955969-D7D0-41B6-B04D-2D5B4FBE42B6}</x:author>
    <x:author>tc={02783F96-A1A6-41A6-8160-CFFBBFB9C2C7}</x:author>
    <x:author>tc={45F9D292-5583-4941-87E5-4DE08D2D6060}</x:author>
    <x:author>tc={DED47CB5-8906-42B7-885A-8AE6DFEB7348}</x:author>
    <x:author>tc={BBA50632-34F6-425C-8792-D9E289D9C9B6}</x:author>
    <x:author>tc={6147006D-024B-4FE5-9E44-55843955DD09}</x:author>
    <x:author>tc={64F6B715-C2C4-4B57-BD80-1B94BAE184DF}</x:author>
    <x:author>tc={BB6CD4EB-0267-4BFA-AA24-3DF70B8594A8}</x:author>
    <x:author>tc={83A58E40-B531-4FB8-A915-111F6B3AE80E}</x:author>
    <x:author>tc={01A87C8C-65F3-4D04-8DCB-8EF12C70C8C9}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retained/billable volume. occupied pallet-months.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Net realised unit price. INR; exclude GST and refunds.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Variable cost per unit. Include direct channel cost / non-creditable tax.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 cash cost. Exclude depreciation, debt service and income tax.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Saleable monthly capacity. Use safe capacity, not only theoretical output.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volume growth. Scenario, capped by capacity.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fixed-cost growth. Scenario inflation; not a forecast.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capital expenditure. Equipment / setup cash.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Refundable lease deposit. Recoverable asset; not operating expense.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Opening cash after startup spend. Funded buffer after initial capital spend.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Receivable days. Recognised revenue awaiting payment.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Own inventory days. Own goods only; exclude clients’ stock.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days. Only on supplier-credit-eligible costs.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Startup loan proceeds. Not income.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loan interest. Assumption, not lender offer.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Equal-principal tenor (months). Equal principal, not a constant EMI.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maintenance capex. Cash replacement / maintenance equipment.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income-tax cash. REQUIRED: independently compute taxes.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net GST cash outflow. REQUIRED: no GST liability calculated.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owner drawings. Distribution, not operating expense. Replace with documented actuals. Not a market quotation, legal rate or government fee.</x:t>
        </x:r>
      </x:text>
    </x:comment>
    <x:comment ref="C26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volume change. Stress case, not forecast. Replace with documented actuals. Not a market quotation, legal rate or government fee.</x:t>
        </x:r>
      </x:text>
    </x:comment>
    <x:comment ref="C27" authorId="2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Downside unit-cost change. Stress case, not forecast. Replace with documented actuals. Not a market quotation, legal rate or government fee.</x:t>
        </x:r>
      </x:text>
    </x:comment>
    <x:comment ref="C28" authorId="2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Extra collection days. Receivable shock, not expense. Replace with documented actuals. Not a market quotation, legal rate or government fee.</x:t>
        </x:r>
      </x:text>
    </x:comment>
    <x:comment ref="C29" authorId="2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days per month. Working-capital convention. Replace with documented actuals. Not a market quotation, legal rate or government fee.</x:t>
        </x:r>
      </x:text>
    </x:comment>
    <x:comment ref="C30" authorId="2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  <x:comment ref="C31" authorId="2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Inventory share of direct cost. Fraction 0–1. Replace with documented actuals. Not a market quotation, legal rate or government fee.</x:t>
        </x:r>
      </x:text>
    </x:comment>
    <x:comment ref="C32" authorId="2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Supplier-credit share of cost. Fraction 0–1. Replace with documented actuals. Not a market quotation, legal rate or government fee.</x:t>
        </x:r>
      </x:text>
    </x:comment>
    <x:comment ref="C33" authorId="2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Planning asset life (years). Economic straight-line life, not tax depreciation. Replace with documented actuals. Not a market quotation, legal rate or government fee.</x:t>
        </x:r>
      </x:text>
    </x:comment>
    <x:comment ref="C34" authorId="2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realised-price growth. Scenario only. Replace with documented actuals. Not a market quotation, legal rate or government fee.</x:t>
        </x:r>
      </x:text>
    </x:comment>
    <x:comment ref="C35" authorId="2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One-off launch cost. Startup cash, outside recurring fixed cost. Replace with documented actuals. Not a market quotation, legal rate or government fee.</x:t>
        </x:r>
      </x:text>
    </x:comment>
    <x:comment ref="C36" authorId="3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Supplier advance at startup. Not an immediate expense. Replace with documented actuals. Not a market quotation, legal rate or government fee.</x:t>
        </x:r>
      </x:text>
    </x:comment>
  </x:commentList>
</x:comments>
</file>

<file path=xl/comments17.xml><?xml version="1.0" encoding="utf-8"?>
<x:comments xmlns:x="http://schemas.openxmlformats.org/spreadsheetml/2006/main">
  <x:authors>
    <x:author>tc={F8219F0C-53B4-48B1-9676-21D86D159604}</x:author>
    <x:author>tc={EA8C5727-6575-437A-AF15-E7BAA518E8F7}</x:author>
    <x:author>tc={70D617EF-38B9-4F3F-8469-777361872E93}</x:author>
    <x:author>tc={B3EF1576-B1DE-47B2-8287-12AD54EC052B}</x:author>
    <x:author>tc={A818817A-F59F-44D9-B517-535D204AE45B}</x:author>
    <x:author>tc={BA0ECD55-5D4E-44AF-B84A-142CFAA1E104}</x:author>
    <x:author>tc={9406A1A0-13D3-457E-BBDA-704B82EB7790}</x:author>
    <x:author>tc={357E5E4C-56DA-489B-B103-9EA88AE8EBEB}</x:author>
    <x:author>tc={4D8AD8A8-B9E1-4A3E-8FDF-599B1202EAC8}</x:author>
    <x:author>tc={40AE3E8C-EE33-4C83-AEA8-083EDE5A0474}</x:author>
    <x:author>tc={875A026A-F00C-43AE-B333-9C482F34ABE8}</x:author>
    <x:author>tc={2086B052-C9E1-4F7C-8B3A-B421B227F44F}</x:author>
    <x:author>tc={A5E764A5-520B-448D-93A1-4DC0A2A7B7C7}</x:author>
    <x:author>tc={5E4D8BD3-E3D1-4B64-82D5-1B80D4715237}</x:author>
    <x:author>tc={C373C256-1FE2-4BFE-AF4D-4522EC22DCDA}</x:author>
    <x:author>tc={8A9804CA-9DB5-40E7-AD3B-13691444D4B8}</x:author>
    <x:author>tc={C324A8E6-0485-45F2-85E1-F3DDEAFCCCF5}</x:author>
    <x:author>tc={20D14F35-D2BD-4120-BB19-8617324D4CF1}</x:author>
    <x:author>tc={A854DB2F-963D-4CFA-B7E8-1AFB05E1A42D}</x:author>
    <x:author>tc={A37AE485-765D-459C-893F-BDA7E96611C0}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Purchase price. Negotiated amount.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Acquisition charges. Stamp duty, fees, legal cost; not a prescribed rate.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Fit-out capital expenditure. Initial works.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Acquisition loan. Financing, not income.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interest. Illustrative only.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Loan tenor months. Monthly amortisation.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scheduled rent. Excluding GST and tenant deposit.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Economic occupancy. Retained rent / scheduled rent.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Monthly operating cost. Property direct cash cost.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tax and insurance. Replace with actual bills.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repairs reserve. Cash planning.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income-tax cash. REQUIRED USER INPUT; zero is not exemption.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rent growth. Scenario, not forecast.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cost growth. Scenario, not forecast. Replace with documented actuals. Not a market quotation, legal rate or government fee.</x:t>
        </x:r>
      </x:text>
    </x:comment>
    <x:comment ref="C20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Annual property price growth. No appreciation by default. Replace with documented actuals. Not a market quotation, legal rate or government fee.</x:t>
        </x:r>
      </x:text>
    </x:comment>
    <x:comment ref="C21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 cost rate. Assumed transaction costs, excluding sale tax. Replace with documented actuals. Not a market quotation, legal rate or government fee.</x:t>
        </x:r>
      </x:text>
    </x:comment>
    <x:comment ref="C22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Sale tax cash. REQUIRED USER INPUT. Replace with documented actuals. Not a market quotation, legal rate or government fee.</x:t>
        </x:r>
      </x:text>
    </x:comment>
    <x:comment ref="C23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Discount rate. Planning hurdle, not investment advice. Replace with documented actuals. Not a market quotation, legal rate or government fee.</x:t>
        </x:r>
      </x:text>
    </x:comment>
    <x:comment ref="C24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Years held. This fixed table models 5 years; must remain 5. Replace with documented actuals. Not a market quotation, legal rate or government fee.</x:t>
        </x:r>
      </x:text>
    </x:comment>
    <x:comment ref="C25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Months per year. Annualisation. Replace with documented actuals. Not a market quotation, legal rate or government fee.</x:t>
        </x:r>
      </x:text>
    </x:comment>
  </x:commentList>
</x:comments>
</file>

<file path=xl/comments18.xml><?xml version="1.0" encoding="utf-8"?>
<x:comments xmlns:x="http://schemas.openxmlformats.org/spreadsheetml/2006/main">
  <x:authors>
    <x:author>tc={25C07282-0C2F-4A1B-8B0B-CC691478226F}</x:author>
    <x:author>tc={048079E2-F580-448F-8F87-E04B2AC379F0}</x:author>
    <x:author>tc={3BBA2992-5AFD-4DD1-B8F6-313F146ED9EB}</x:author>
    <x:author>tc={83E9328D-DAB8-45F7-853C-86385F0D0BB2}</x:author>
    <x:author>tc={11FCF27A-B3AB-4333-9F80-A342E9BA0579}</x:author>
    <x:author>tc={2A1F8EBC-E51E-4264-AC5C-C1F4560269E6}</x:author>
    <x:author>tc={CC3FF13A-8266-4644-AA1C-A98AFBE07E09}</x:author>
    <x:author>tc={1A6279BB-916F-4F61-B775-82FFB69181B8}</x:author>
    <x:author>tc={FFFC5C15-B0C0-4BC2-B112-852E535E8D89}</x:author>
    <x:author>tc={9970739D-2929-4338-846A-E05ACD22ACA6}</x:author>
    <x:author>tc={9BA6A235-64CE-4AF7-BC99-FC971ECE730C}</x:author>
    <x:author>tc={E1F524DE-FFF0-406A-A0DE-837FC8A6793E}</x:author>
    <x:author>tc={04494FB3-CF77-414C-8A67-E1FF4E22A686}</x:author>
    <x:author>tc={CF394E02-60B4-452E-8E65-8C6F80E54792}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Admitted amount. Separate from contested amount. Replace with documented actuals. Not a market quotation, legal rate or government fee.</x:t>
        </x:r>
      </x:text>
    </x:comment>
    <x:comment ref="C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Disputed principal. Not business revenue. Replace with documented actuals. Not a market quotation, legal rate or government fee.</x:t>
        </x:r>
      </x:text>
    </x:comment>
    <x:comment ref="C8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Interest exposure. No statutory interest computation. Replace with documented actuals. Not a market quotation, legal rate or government fee.</x:t>
        </x:r>
      </x:text>
    </x:comment>
    <x:comment ref="C9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Penalty exposure. Illustrative exposure. Replace with documented actuals. Not a market quotation, legal rate or government fee.</x:t>
        </x:r>
      </x:text>
    </x:comment>
    <x:comment ref="C10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Professional fees budget. Budget, not a fee quote. Replace with documented actuals. Not a market quotation, legal rate or government fee.</x:t>
        </x:r>
      </x:text>
    </x:comment>
    <x:comment ref="C11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Internal / other case cash. Budget. Replace with documented actuals. Not a market quotation, legal rate or government fee.</x:t>
        </x:r>
      </x:text>
    </x:comment>
    <x:comment ref="C12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Hypothetical deposit fraction. NOT A LEGAL RATE; replace actual rule/base/cap. Replace with documented actuals. Not a market quotation, legal rate or government fee.</x:t>
        </x:r>
      </x:text>
    </x:comment>
    <x:comment ref="C13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Deposit already paid. Credit against required deposit. Replace with documented actuals. Not a market quotation, legal rate or government fee.</x:t>
        </x:r>
      </x:text>
    </x:comment>
    <x:comment ref="C14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Admitted amount already paid. Credit against admitted amount. Replace with documented actuals. Not a market quotation, legal rate or government fee.</x:t>
        </x:r>
      </x:text>
    </x:comment>
    <x:comment ref="C15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Success probability. Planning assumption, not legal forecast. Replace with documented actuals. Not a market quotation, legal rate or government fee.</x:t>
        </x:r>
      </x:text>
    </x:comment>
    <x:comment ref="C16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Partial-loss probability. Planning assumption. Replace with documented actuals. Not a market quotation, legal rate or government fee.</x:t>
        </x:r>
      </x:text>
    </x:comment>
    <x:comment ref="C17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Full-loss probability. Planning assumption. Replace with documented actuals. Not a market quotation, legal rate or government fee.</x:t>
        </x:r>
      </x:text>
    </x:comment>
    <x:comment ref="C18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Partial-loss fraction. Portion of contested exposure lost. Replace with documented actuals. Not a market quotation, legal rate or government fee.</x:t>
        </x:r>
      </x:text>
    </x:comment>
    <x:comment ref="C19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Illustrative Finin2min input (2026-10-25); Available case cash. Unrestricted dedicated cash. Replace with documented actuals. Not a market quotation, legal rate or government fee.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-&quot;"/>
    <x:numFmt numFmtId="201" formatCode="0.0%;[Red](0.0%);&quot;-&quot;"/>
    <x:numFmt numFmtId="202" formatCode="0.00&quot;x&quot;;[Red](0.00&quot;x&quot;);&quot;-&quot;"/>
  </x:numFmts>
  <x:fonts count="6">
    <x:font>
      <x:sz val="11"/>
      <x:name val="Carlito"/>
    </x:font>
    <x:font>
      <x:sz val="10"/>
      <x:name val="Aptos"/>
    </x:font>
    <x:font>
      <x:b/>
      <x:sz val="16"/>
      <x:color rgb="FFFFFFFF"/>
      <x:name val="Aptos"/>
    </x:font>
    <x:font>
      <x:sz val="10"/>
      <x:color rgb="FF0000FF"/>
      <x:name val="Aptos"/>
    </x:font>
    <x:font>
      <x:b/>
      <x:sz val="10"/>
      <x:color rgb="FFFFFFFF"/>
      <x:name val="Aptos"/>
    </x:font>
    <x:font>
      <x:sz val="10"/>
      <x:color rgb="FF008000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43652"/>
      </x:patternFill>
    </x:fill>
    <x:fill>
      <x:patternFill patternType="solid">
        <x:fgColor rgb="FFFFF1BE"/>
      </x:patternFill>
    </x:fill>
    <x:fill>
      <x:patternFill patternType="solid">
        <x:fgColor rgb="FFEAF3F7"/>
      </x:patternFill>
    </x:fill>
    <x:fill>
      <x:patternFill patternType="solid">
        <x:fgColor rgb="FF117C83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1" fillId="2" borderId="1" xfId="0" applyNumberFormat="1" applyFont="1" applyFill="1" applyBorder="1"/>
    <x:xf numFmtId="200" fontId="2" fillId="2" borderId="1" xfId="0" applyNumberFormat="1" applyFont="1" applyFill="1" applyBorder="1"/>
    <x:xf numFmtId="200" fontId="1" fillId="0" borderId="0" xfId="0" applyNumberFormat="1" applyFont="1" applyFill="1" applyBorder="1" applyAlignment="1">
      <x:alignment wrapText="1"/>
    </x:xf>
    <x:xf numFmtId="200" fontId="1" fillId="0" borderId="1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0" fontId="3" fillId="3" borderId="0" xfId="0" applyNumberFormat="1" applyFont="1" applyFill="1" applyBorder="1"/>
    <x:xf numFmtId="200" fontId="1" fillId="3" borderId="1" xfId="0" applyNumberFormat="1" applyFont="1" applyFill="1" applyBorder="1"/>
    <x:xf numFmtId="200" fontId="3" fillId="3" borderId="1" xfId="0" applyNumberFormat="1" applyFont="1" applyFill="1" applyBorder="1"/>
    <x:xf numFmtId="200" fontId="3" fillId="3" borderId="0" xfId="0" applyNumberFormat="1" applyFont="1" applyFill="1" applyBorder="1" applyAlignment="1">
      <x:alignment wrapText="1"/>
    </x:xf>
    <x:xf numFmtId="200" fontId="3" fillId="3" borderId="1" xfId="0" applyNumberFormat="1" applyFont="1" applyFill="1" applyBorder="1" applyAlignment="1">
      <x:alignment wrapText="1"/>
    </x:xf>
    <x:xf numFmtId="201" fontId="3" fillId="3" borderId="0" xfId="0" applyNumberFormat="1" applyFont="1" applyFill="1" applyBorder="1" applyAlignment="1">
      <x:alignment wrapText="1"/>
    </x:xf>
    <x:xf numFmtId="201" fontId="3" fillId="3" borderId="1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0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wrapText="1"/>
    </x:xf>
    <x:xf numFmtId="200" fontId="1" fillId="4" borderId="1" xfId="0" applyNumberFormat="1" applyFont="1" applyFill="1" applyBorder="1"/>
    <x:xf numFmtId="200" fontId="1" fillId="4" borderId="1" xfId="0" applyNumberFormat="1" applyFont="1" applyFill="1" applyBorder="1" applyAlignment="1">
      <x:alignment wrapText="1"/>
    </x:xf>
    <x:xf numFmtId="200" fontId="1" fillId="5" borderId="0" xfId="0" applyNumberFormat="1" applyFont="1" applyFill="1" applyBorder="1"/>
    <x:xf numFmtId="200" fontId="4" fillId="5" borderId="0" xfId="0" applyNumberFormat="1" applyFont="1" applyFill="1" applyBorder="1"/>
    <x:xf numFmtId="200" fontId="1" fillId="5" borderId="1" xfId="0" applyNumberFormat="1" applyFont="1" applyFill="1" applyBorder="1"/>
    <x:xf numFmtId="200" fontId="4" fillId="5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200" fontId="2" fillId="2" borderId="1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0" fontId="1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16"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  <x:dxf>
      <x:fill>
        <x:patternFill>
          <x:bgColor rgb="FFFF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4c727ce4f4254" /><Relationship Type="http://schemas.openxmlformats.org/officeDocument/2006/relationships/theme" Target="/xl/theme/theme1.xml" Id="R12dc403c4375496f" /><Relationship Type="http://schemas.openxmlformats.org/officeDocument/2006/relationships/sharedStrings" Target="/xl/sharedStrings.xml" Id="R017ffcdaab1649de" /><Relationship Type="http://schemas.openxmlformats.org/officeDocument/2006/relationships/worksheet" Target="/xl/worksheets/sheet1.xml" Id="R13ad4122e6f54c06" /><Relationship Type="http://schemas.openxmlformats.org/officeDocument/2006/relationships/worksheet" Target="/xl/worksheets/sheet2.xml" Id="R1f0cce1f83b342cc" /><Relationship Type="http://schemas.openxmlformats.org/officeDocument/2006/relationships/worksheet" Target="/xl/worksheets/sheet3.xml" Id="Rfe88c9ed0632494b" /><Relationship Type="http://schemas.openxmlformats.org/officeDocument/2006/relationships/worksheet" Target="/xl/worksheets/sheet4.xml" Id="Rdeb53cf3f53a4d9b" /><Relationship Type="http://schemas.openxmlformats.org/officeDocument/2006/relationships/worksheet" Target="/xl/worksheets/sheet5.xml" Id="R04e9b983c3de4520" /><Relationship Type="http://schemas.openxmlformats.org/officeDocument/2006/relationships/worksheet" Target="/xl/worksheets/sheet6.xml" Id="R443087f5b8d848d0" /><Relationship Type="http://schemas.openxmlformats.org/officeDocument/2006/relationships/worksheet" Target="/xl/worksheets/sheet7.xml" Id="R226f3c9cfb184ec4" /><Relationship Type="http://schemas.openxmlformats.org/officeDocument/2006/relationships/worksheet" Target="/xl/worksheets/sheet8.xml" Id="R583e5693d5274584" /><Relationship Type="http://schemas.openxmlformats.org/officeDocument/2006/relationships/worksheet" Target="/xl/worksheets/sheet9.xml" Id="Rd637fcd97095408d" /><Relationship Type="http://schemas.openxmlformats.org/officeDocument/2006/relationships/worksheet" Target="/xl/worksheets/sheet10.xml" Id="Rfd68b22a71d74164" /><Relationship Type="http://schemas.openxmlformats.org/officeDocument/2006/relationships/worksheet" Target="/xl/worksheets/sheet11.xml" Id="R4e04fc61e9e54061" /><Relationship Type="http://schemas.openxmlformats.org/officeDocument/2006/relationships/worksheet" Target="/xl/worksheets/sheet12.xml" Id="Rc7c6d7f1f6a04035" /><Relationship Type="http://schemas.openxmlformats.org/officeDocument/2006/relationships/worksheet" Target="/xl/worksheets/sheet13.xml" Id="Rb9f510b75d104010" /><Relationship Type="http://schemas.openxmlformats.org/officeDocument/2006/relationships/worksheet" Target="/xl/worksheets/sheet14.xml" Id="R6e71b821a7ab406a" /><Relationship Type="http://schemas.openxmlformats.org/officeDocument/2006/relationships/worksheet" Target="/xl/worksheets/sheet15.xml" Id="R05191e1119fb441a" /><Relationship Type="http://schemas.openxmlformats.org/officeDocument/2006/relationships/worksheet" Target="/xl/worksheets/sheet16.xml" Id="Re8219d5089484e45" /><Relationship Type="http://schemas.openxmlformats.org/officeDocument/2006/relationships/worksheet" Target="/xl/worksheets/sheet17.xml" Id="Rad497b23f9374c8d" /><Relationship Type="http://schemas.openxmlformats.org/officeDocument/2006/relationships/worksheet" Target="/xl/worksheets/sheet18.xml" Id="Rcfb77b79485c4c3c" /><Relationship Type="http://schemas.openxmlformats.org/officeDocument/2006/relationships/worksheet" Target="/xl/worksheets/sheet19.xml" Id="R60df12a65bb04504" /><Relationship Type="http://schemas.openxmlformats.org/officeDocument/2006/relationships/worksheet" Target="/xl/worksheets/sheet20.xml" Id="Rbe6a84120e5b4c40" /><Relationship Type="http://schemas.openxmlformats.org/officeDocument/2006/relationships/worksheet" Target="/xl/worksheets/sheet21.xml" Id="Rf8376759bded4a4c" /><Relationship Type="http://schemas.microsoft.com/office/2017/10/relationships/person" Target="/xl/persons/person.xml" Id="R425829d1403a4352" /></Relationships>
</file>

<file path=xl/persons/person.xml><?xml version="1.0" encoding="utf-8"?>
<xltc:personList xmlns:xltc="http://schemas.microsoft.com/office/spreadsheetml/2018/threadedcomments">
  <xltc:person displayName="Finin2min" id="{FF57BDC8-32FA-46A8-81D1-98EC28C29EF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6" dT="2026-10-24T21:06:59.131" personId="{FF57BDC8-32FA-46A8-81D1-98EC28C29EFA}" id="{42916722-527E-4B19-BFCE-153505AC86F5}">
    <xltc:text>Illustrative Finin2min input (2026-10-25); Monthly retained/billable volume. retained orders. Replace with documented actuals. Not a market quotation, legal rate or government fee.</xltc:text>
  </xltc:threadedComment>
  <xltc:threadedComment ref="C7" dT="2026-10-24T21:06:59.131" personId="{FF57BDC8-32FA-46A8-81D1-98EC28C29EFA}" id="{55C77897-FBCF-4C60-9453-965B924347BD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1" personId="{FF57BDC8-32FA-46A8-81D1-98EC28C29EFA}" id="{5A6E299D-4F9F-4887-83A2-BD3CC0946A44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1" personId="{FF57BDC8-32FA-46A8-81D1-98EC28C29EFA}" id="{C6FE8313-0441-4F1F-B7AD-20B2CDA1AA33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1" personId="{FF57BDC8-32FA-46A8-81D1-98EC28C29EFA}" id="{A981E854-6C77-4E1D-8F1E-C185F91FC703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1" personId="{FF57BDC8-32FA-46A8-81D1-98EC28C29EFA}" id="{98B625B9-E3A9-469A-B17B-90ECB922DD0C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1" personId="{FF57BDC8-32FA-46A8-81D1-98EC28C29EFA}" id="{9E061910-61AD-4763-9F0E-3AE3A5B24289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1" personId="{FF57BDC8-32FA-46A8-81D1-98EC28C29EFA}" id="{5A790947-C55A-473C-B791-47ECD73DBBD2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1" personId="{FF57BDC8-32FA-46A8-81D1-98EC28C29EFA}" id="{EBC2AFEA-2588-4AE4-B3C6-64E1AB185E4A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1" personId="{FF57BDC8-32FA-46A8-81D1-98EC28C29EFA}" id="{FDB3A423-6D55-455A-AEDA-16A0E77859D8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1" personId="{FF57BDC8-32FA-46A8-81D1-98EC28C29EFA}" id="{83FED310-B450-4C4E-83D9-0378569D42D7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1" personId="{FF57BDC8-32FA-46A8-81D1-98EC28C29EFA}" id="{AE50BDFC-6713-45EB-8D25-519195D2A5C5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1" personId="{FF57BDC8-32FA-46A8-81D1-98EC28C29EFA}" id="{173140D0-AB3D-486E-8C2A-064A0198973B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1" personId="{FF57BDC8-32FA-46A8-81D1-98EC28C29EFA}" id="{748AE100-F87F-477A-972A-89678C18BE0A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1" personId="{FF57BDC8-32FA-46A8-81D1-98EC28C29EFA}" id="{81DE4FAC-783B-430B-B9AB-27FF73185943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1" personId="{FF57BDC8-32FA-46A8-81D1-98EC28C29EFA}" id="{FCCF294C-7EB1-49C7-BA7C-94A9ECBB2D6E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1" personId="{FF57BDC8-32FA-46A8-81D1-98EC28C29EFA}" id="{1710B341-5F52-447D-8243-D75E1EE6D5A7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1" personId="{FF57BDC8-32FA-46A8-81D1-98EC28C29EFA}" id="{D2E57F10-5F35-45BB-8D62-778600E62C19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1" personId="{FF57BDC8-32FA-46A8-81D1-98EC28C29EFA}" id="{9F07A804-322A-41FD-B715-F92CBD98CC7B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1" personId="{FF57BDC8-32FA-46A8-81D1-98EC28C29EFA}" id="{372AF242-D49F-4CFD-9531-A4D72B4B8A43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1" personId="{FF57BDC8-32FA-46A8-81D1-98EC28C29EFA}" id="{1BDCC026-F209-41A7-B995-F68E42695CF5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1" personId="{FF57BDC8-32FA-46A8-81D1-98EC28C29EFA}" id="{0E4E98B7-8651-4300-A368-178AD596D1F7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1" personId="{FF57BDC8-32FA-46A8-81D1-98EC28C29EFA}" id="{74230856-487E-44F1-ABF6-500A4BA5B424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1" personId="{FF57BDC8-32FA-46A8-81D1-98EC28C29EFA}" id="{CF449B14-D8E3-4F62-95B8-4F011F50980E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1" personId="{FF57BDC8-32FA-46A8-81D1-98EC28C29EFA}" id="{DEF6B709-03F7-47D3-AF51-144408E7F7DA}">
    <xltc:text>Illustrative Finin2min input (2026-10-25); Months per year. Annualisation. Replace with documented actuals. Not a market quotation, legal rate or government fee.</xltc:text>
  </xltc:threadedComment>
  <xltc:threadedComment ref="C31" dT="2026-10-24T21:06:59.131" personId="{FF57BDC8-32FA-46A8-81D1-98EC28C29EFA}" id="{8B52AAA1-2439-4938-8730-67F724B62C33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1" personId="{FF57BDC8-32FA-46A8-81D1-98EC28C29EFA}" id="{164C6FF2-8FDA-40BD-B9EA-808611860173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1" personId="{FF57BDC8-32FA-46A8-81D1-98EC28C29EFA}" id="{5944B27A-6386-41B9-8C13-7309CF6F2B8E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2" personId="{FF57BDC8-32FA-46A8-81D1-98EC28C29EFA}" id="{DC3B89C6-5131-4BAF-90CF-A1B796DB8B6F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2" personId="{FF57BDC8-32FA-46A8-81D1-98EC28C29EFA}" id="{4CBE14E2-6AA1-4C41-BADE-33093DAD23E3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2" personId="{FF57BDC8-32FA-46A8-81D1-98EC28C29EFA}" id="{A25204E8-AB60-4031-A4B9-CA8CB115FE62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6" dT="2026-10-24T21:06:59.132" personId="{FF57BDC8-32FA-46A8-81D1-98EC28C29EFA}" id="{485A17E3-03D1-4C80-A7A3-DA8B83CBE09E}">
    <xltc:text>Illustrative Finin2min input (2026-10-25); Monthly retained/billable volume. retained orders. Replace with documented actuals. Not a market quotation, legal rate or government fee.</xltc:text>
  </xltc:threadedComment>
  <xltc:threadedComment ref="C7" dT="2026-10-24T21:06:59.132" personId="{FF57BDC8-32FA-46A8-81D1-98EC28C29EFA}" id="{98977346-CCF0-40B0-9A4F-DE6FF254E252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2" personId="{FF57BDC8-32FA-46A8-81D1-98EC28C29EFA}" id="{AF58328F-8ACF-4564-9ABF-6DE53DD1C9C3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2" personId="{FF57BDC8-32FA-46A8-81D1-98EC28C29EFA}" id="{CCABC880-A4CB-416B-BEFC-BB3AD62ABE23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2" personId="{FF57BDC8-32FA-46A8-81D1-98EC28C29EFA}" id="{AD067021-72A5-4885-8BAC-3C15B4C0F544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3" personId="{FF57BDC8-32FA-46A8-81D1-98EC28C29EFA}" id="{8F6B7A3B-2F0E-4B50-A84D-FC4A1A704F3A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3" personId="{FF57BDC8-32FA-46A8-81D1-98EC28C29EFA}" id="{27D0C971-D065-4492-B0EE-48F197A6BC20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3" personId="{FF57BDC8-32FA-46A8-81D1-98EC28C29EFA}" id="{A99D8260-C9DE-4180-8CA9-612C3A4420A2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3" personId="{FF57BDC8-32FA-46A8-81D1-98EC28C29EFA}" id="{08A7E6F6-2F9F-4011-90D5-0544D7633448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3" personId="{FF57BDC8-32FA-46A8-81D1-98EC28C29EFA}" id="{6A2872F3-B445-4542-94EA-7F41D45EDD2C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3" personId="{FF57BDC8-32FA-46A8-81D1-98EC28C29EFA}" id="{F639889A-7197-46E8-AC4B-D400107980F1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3" personId="{FF57BDC8-32FA-46A8-81D1-98EC28C29EFA}" id="{6028D605-7A58-4EC5-8BF0-E63642A49B54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3" personId="{FF57BDC8-32FA-46A8-81D1-98EC28C29EFA}" id="{9B2D20D0-EC95-44DB-8F7D-F67A2BA56A24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3" personId="{FF57BDC8-32FA-46A8-81D1-98EC28C29EFA}" id="{06BDA901-4A8F-41B5-BFDA-F16A59EB7C2F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3" personId="{FF57BDC8-32FA-46A8-81D1-98EC28C29EFA}" id="{DDDA23AF-AE3F-4B73-A9AC-12A1070951C1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3" personId="{FF57BDC8-32FA-46A8-81D1-98EC28C29EFA}" id="{A6B5C5D2-9749-4574-B91F-AB3D2A8A0FA9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3" personId="{FF57BDC8-32FA-46A8-81D1-98EC28C29EFA}" id="{603211E8-78F4-45AC-812B-D0786033325E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3" personId="{FF57BDC8-32FA-46A8-81D1-98EC28C29EFA}" id="{042BE7F7-E3CA-4CAC-9EBD-20819299E793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3" personId="{FF57BDC8-32FA-46A8-81D1-98EC28C29EFA}" id="{CA7D7573-4866-49DA-A085-47564664EEC4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3" personId="{FF57BDC8-32FA-46A8-81D1-98EC28C29EFA}" id="{B4195EC2-8A4A-4729-AA06-FC8B08E86298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3" personId="{FF57BDC8-32FA-46A8-81D1-98EC28C29EFA}" id="{171F6417-9E27-4A19-B615-F452392CBE5C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3" personId="{FF57BDC8-32FA-46A8-81D1-98EC28C29EFA}" id="{033B95B3-61E6-4E1A-8F8F-6E8048D6E9E7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3" personId="{FF57BDC8-32FA-46A8-81D1-98EC28C29EFA}" id="{504696DB-88F2-4F12-B01B-A1568EE2EFE1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3" personId="{FF57BDC8-32FA-46A8-81D1-98EC28C29EFA}" id="{8A48C0B7-9F98-4B96-888D-12693F85385E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3" personId="{FF57BDC8-32FA-46A8-81D1-98EC28C29EFA}" id="{6BE7D957-64EE-4FBE-A7DF-A7B54FED8676}">
    <xltc:text>Illustrative Finin2min input (2026-10-25); Months per year. Annualisation. Replace with documented actuals. Not a market quotation, legal rate or government fee.</xltc:text>
  </xltc:threadedComment>
  <xltc:threadedComment ref="C31" dT="2026-10-24T21:06:59.133" personId="{FF57BDC8-32FA-46A8-81D1-98EC28C29EFA}" id="{0DF10471-F540-4D16-A87F-4B8C66B2589A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3" personId="{FF57BDC8-32FA-46A8-81D1-98EC28C29EFA}" id="{B7E8C360-08ED-44B4-B08A-714A3ACFE779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3" personId="{FF57BDC8-32FA-46A8-81D1-98EC28C29EFA}" id="{1F346F23-1DA1-4219-9D67-08C851EB8D60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3" personId="{FF57BDC8-32FA-46A8-81D1-98EC28C29EFA}" id="{932EB00D-4EC5-47BF-AD97-49D37A7389AA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3" personId="{FF57BDC8-32FA-46A8-81D1-98EC28C29EFA}" id="{9AF0956D-2AB7-448E-AE00-C3CCC03626E8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3" personId="{FF57BDC8-32FA-46A8-81D1-98EC28C29EFA}" id="{D97D9440-B27B-4371-B8FA-D599CF28B660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C6" dT="2026-10-24T21:06:59.133" personId="{FF57BDC8-32FA-46A8-81D1-98EC28C29EFA}" id="{DC506BC1-C56A-4B25-91EB-EE611090D34D}">
    <xltc:text>Illustrative Finin2min input (2026-10-25); Monthly retained/billable volume. saleable units. Replace with documented actuals. Not a market quotation, legal rate or government fee.</xltc:text>
  </xltc:threadedComment>
  <xltc:threadedComment ref="C7" dT="2026-10-24T21:06:59.133" personId="{FF57BDC8-32FA-46A8-81D1-98EC28C29EFA}" id="{7A2BA465-EEEB-4EEB-A4B6-C455714D4096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3" personId="{FF57BDC8-32FA-46A8-81D1-98EC28C29EFA}" id="{2393A36E-FA32-4E41-AF44-E58EA808EA77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3" personId="{FF57BDC8-32FA-46A8-81D1-98EC28C29EFA}" id="{A836BAFC-AA0D-4717-A555-36537E19384F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3" personId="{FF57BDC8-32FA-46A8-81D1-98EC28C29EFA}" id="{3CAF7902-E56D-48B5-86EE-245E95C951C1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3" personId="{FF57BDC8-32FA-46A8-81D1-98EC28C29EFA}" id="{FF37FC75-8894-4B9B-9B9A-55B776732133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3" personId="{FF57BDC8-32FA-46A8-81D1-98EC28C29EFA}" id="{4A5DD827-7FA8-49DF-A9DD-D3141F3322D1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3" personId="{FF57BDC8-32FA-46A8-81D1-98EC28C29EFA}" id="{B2529CE8-16D9-441D-8E10-8734D312D4C0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3" personId="{FF57BDC8-32FA-46A8-81D1-98EC28C29EFA}" id="{315BED8E-5B5A-497D-9E48-F50943D10E2D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3" personId="{FF57BDC8-32FA-46A8-81D1-98EC28C29EFA}" id="{B4F58F94-799E-4502-8C61-AAEC22A6A183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3" personId="{FF57BDC8-32FA-46A8-81D1-98EC28C29EFA}" id="{CE971D0B-44AB-49F3-85B1-58E22158BA2C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3" personId="{FF57BDC8-32FA-46A8-81D1-98EC28C29EFA}" id="{01F28DFF-D7FE-413E-8C8D-51CCC742FACD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3" personId="{FF57BDC8-32FA-46A8-81D1-98EC28C29EFA}" id="{FAC3ED9F-6961-4599-B8D1-E5C4D6442984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3" personId="{FF57BDC8-32FA-46A8-81D1-98EC28C29EFA}" id="{B5D1749D-F04D-40B4-AEB6-0762913D6A35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3" personId="{FF57BDC8-32FA-46A8-81D1-98EC28C29EFA}" id="{3062D866-CB6A-45C3-8443-7198B58105B4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3" personId="{FF57BDC8-32FA-46A8-81D1-98EC28C29EFA}" id="{7D442800-F2D4-4956-A78A-D03DB6BEF175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3" personId="{FF57BDC8-32FA-46A8-81D1-98EC28C29EFA}" id="{9F02D48A-C1F3-47EA-9A00-3E2B5DED2F6C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3" personId="{FF57BDC8-32FA-46A8-81D1-98EC28C29EFA}" id="{C2ED4F02-0F48-44B7-B6B4-493A51F61424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3" personId="{FF57BDC8-32FA-46A8-81D1-98EC28C29EFA}" id="{C7E04197-71F5-4649-9681-C9DF033B46C6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3" personId="{FF57BDC8-32FA-46A8-81D1-98EC28C29EFA}" id="{F60DC611-5DDF-40E8-990E-D518D28B7444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3" personId="{FF57BDC8-32FA-46A8-81D1-98EC28C29EFA}" id="{69A5C829-65AE-482D-8798-31936A253F9B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3" personId="{FF57BDC8-32FA-46A8-81D1-98EC28C29EFA}" id="{38099AFC-A88B-4F2B-A150-D08FF36CC687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3" personId="{FF57BDC8-32FA-46A8-81D1-98EC28C29EFA}" id="{45DE475A-2F20-484A-9366-159304F1076C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3" personId="{FF57BDC8-32FA-46A8-81D1-98EC28C29EFA}" id="{C0D8A8F2-2B0A-478D-994F-CE249701656F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3" personId="{FF57BDC8-32FA-46A8-81D1-98EC28C29EFA}" id="{D4A39333-1DEB-43E7-8C35-561CC2A49D25}">
    <xltc:text>Illustrative Finin2min input (2026-10-25); Months per year. Annualisation. Replace with documented actuals. Not a market quotation, legal rate or government fee.</xltc:text>
  </xltc:threadedComment>
  <xltc:threadedComment ref="C31" dT="2026-10-24T21:06:59.133" personId="{FF57BDC8-32FA-46A8-81D1-98EC28C29EFA}" id="{7D3DB221-F2D2-47CD-B6A7-841553DEAE85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3" personId="{FF57BDC8-32FA-46A8-81D1-98EC28C29EFA}" id="{7F938A16-2BAF-43D2-8C0F-FCBAEEDA560A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3" personId="{FF57BDC8-32FA-46A8-81D1-98EC28C29EFA}" id="{27CB6C42-E47C-42E1-AE2D-52BBDCE5C12F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3" personId="{FF57BDC8-32FA-46A8-81D1-98EC28C29EFA}" id="{92D9DAB3-AECB-4E20-B717-445080F52DA9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3" personId="{FF57BDC8-32FA-46A8-81D1-98EC28C29EFA}" id="{3A38908A-9D63-4FE2-ADEB-6A5BA46002BC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3" personId="{FF57BDC8-32FA-46A8-81D1-98EC28C29EFA}" id="{63D778F8-D079-4287-BBC0-FE18A0CDB6B0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4.xml><?xml version="1.0" encoding="utf-8"?>
<xltc:ThreadedComments xmlns:xltc="http://schemas.microsoft.com/office/spreadsheetml/2018/threadedcomments">
  <xltc:threadedComment ref="C6" dT="2026-10-24T21:06:59.133" personId="{FF57BDC8-32FA-46A8-81D1-98EC28C29EFA}" id="{9EC409CD-3547-4756-A6F2-5D1D56BA4BCF}">
    <xltc:text>Illustrative Finin2min input (2026-10-25); Monthly retained/billable volume. completed encounters. Replace with documented actuals. Not a market quotation, legal rate or government fee.</xltc:text>
  </xltc:threadedComment>
  <xltc:threadedComment ref="C7" dT="2026-10-24T21:06:59.133" personId="{FF57BDC8-32FA-46A8-81D1-98EC28C29EFA}" id="{97F5C5F8-5F18-44CF-BAC6-D52A5F00D5E0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3" personId="{FF57BDC8-32FA-46A8-81D1-98EC28C29EFA}" id="{C805800C-FCB2-4B65-B9E4-D5D58454609E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3" personId="{FF57BDC8-32FA-46A8-81D1-98EC28C29EFA}" id="{1ECA5D3A-FFA7-420E-8A08-37F76C73C3E1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3" personId="{FF57BDC8-32FA-46A8-81D1-98EC28C29EFA}" id="{C60ACEA5-D788-456E-A55F-A87D17814C4D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3" personId="{FF57BDC8-32FA-46A8-81D1-98EC28C29EFA}" id="{D7EADA8A-42C1-4411-8708-D4941E82F68E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3" personId="{FF57BDC8-32FA-46A8-81D1-98EC28C29EFA}" id="{7E4B17F8-05FC-4672-9E8C-1689FA6FB802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3" personId="{FF57BDC8-32FA-46A8-81D1-98EC28C29EFA}" id="{14654B52-01A8-41E1-9401-ED31989EC183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3" personId="{FF57BDC8-32FA-46A8-81D1-98EC28C29EFA}" id="{03C90375-50C1-472F-9884-A38BB55111FD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3" personId="{FF57BDC8-32FA-46A8-81D1-98EC28C29EFA}" id="{88981A54-6353-4719-8A69-0678D8BAF0F7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3" personId="{FF57BDC8-32FA-46A8-81D1-98EC28C29EFA}" id="{3161472C-40EE-4F7A-8E06-BC1F108A2028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3" personId="{FF57BDC8-32FA-46A8-81D1-98EC28C29EFA}" id="{75AD02CD-176F-4D3B-BD68-8BACB60C065F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3" personId="{FF57BDC8-32FA-46A8-81D1-98EC28C29EFA}" id="{29F41D7B-B0B6-4985-877C-CA7E8D3328F4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3" personId="{FF57BDC8-32FA-46A8-81D1-98EC28C29EFA}" id="{EEC20E73-7B2C-416A-81DD-3DBC277B9AE3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3" personId="{FF57BDC8-32FA-46A8-81D1-98EC28C29EFA}" id="{96787E56-9A06-43C2-9081-25FE26522B7F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3" personId="{FF57BDC8-32FA-46A8-81D1-98EC28C29EFA}" id="{63D6B031-DA58-4B06-BF05-4EC20FA6C9AE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3" personId="{FF57BDC8-32FA-46A8-81D1-98EC28C29EFA}" id="{A47679E5-32FE-4C9E-ADD4-E29AE383828C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3" personId="{FF57BDC8-32FA-46A8-81D1-98EC28C29EFA}" id="{150494DE-45BF-46B6-BB6A-82BE8C9AE0E4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3" personId="{FF57BDC8-32FA-46A8-81D1-98EC28C29EFA}" id="{F0213CB9-ECE8-48AA-AD85-3B0F75279DD0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3" personId="{FF57BDC8-32FA-46A8-81D1-98EC28C29EFA}" id="{9B725C20-C123-4D64-9784-AA04EF32C4EC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3" personId="{FF57BDC8-32FA-46A8-81D1-98EC28C29EFA}" id="{E5E71AC9-63CA-43B7-90DF-8C9AB01565F1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3" personId="{FF57BDC8-32FA-46A8-81D1-98EC28C29EFA}" id="{B0CDD5DF-7677-47EF-9861-E915FE695B2A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3" personId="{FF57BDC8-32FA-46A8-81D1-98EC28C29EFA}" id="{01DC1DFA-DE36-4B6A-8BB3-A29A0D868789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3" personId="{FF57BDC8-32FA-46A8-81D1-98EC28C29EFA}" id="{3420EAF2-DB36-48FE-BD1E-BE33A279E2A1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3" personId="{FF57BDC8-32FA-46A8-81D1-98EC28C29EFA}" id="{6D7D1C14-D50B-438B-B930-2DFCFA2CE8BB}">
    <xltc:text>Illustrative Finin2min input (2026-10-25); Months per year. Annualisation. Replace with documented actuals. Not a market quotation, legal rate or government fee.</xltc:text>
  </xltc:threadedComment>
  <xltc:threadedComment ref="C31" dT="2026-10-24T21:06:59.133" personId="{FF57BDC8-32FA-46A8-81D1-98EC28C29EFA}" id="{6AD125C7-A3B9-4DC8-8DEE-BFC26823CB0B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3" personId="{FF57BDC8-32FA-46A8-81D1-98EC28C29EFA}" id="{7557272F-7A0F-4883-9F35-D8735575550F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4" personId="{FF57BDC8-32FA-46A8-81D1-98EC28C29EFA}" id="{2A51CC35-D93C-4D50-9F36-8C473D27955B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4" personId="{FF57BDC8-32FA-46A8-81D1-98EC28C29EFA}" id="{CFD93598-073E-4BF7-8971-32A1FE340A62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4" personId="{FF57BDC8-32FA-46A8-81D1-98EC28C29EFA}" id="{A153AAE1-8236-4FFF-92E2-0C04FA76DD5E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4" personId="{FF57BDC8-32FA-46A8-81D1-98EC28C29EFA}" id="{EFE42796-B7D4-47BE-86A1-614EEA0540A1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5.xml><?xml version="1.0" encoding="utf-8"?>
<xltc:ThreadedComments xmlns:xltc="http://schemas.microsoft.com/office/spreadsheetml/2018/threadedcomments">
  <xltc:threadedComment ref="C6" dT="2026-10-24T21:06:59.134" personId="{FF57BDC8-32FA-46A8-81D1-98EC28C29EFA}" id="{59019492-EE8E-4DE6-9E68-BEDCA648872A}">
    <xltc:text>Illustrative Finin2min input (2026-10-25); Monthly retained/billable volume. billable transactions. Replace with documented actuals. Not a market quotation, legal rate or government fee.</xltc:text>
  </xltc:threadedComment>
  <xltc:threadedComment ref="C7" dT="2026-10-24T21:06:59.134" personId="{FF57BDC8-32FA-46A8-81D1-98EC28C29EFA}" id="{5B8C8384-8568-4673-A7EA-434F8307C996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4" personId="{FF57BDC8-32FA-46A8-81D1-98EC28C29EFA}" id="{E9D0DB09-F8A2-4D77-9C46-F58D2CBD12A2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4" personId="{FF57BDC8-32FA-46A8-81D1-98EC28C29EFA}" id="{87B2C488-1277-4DBC-AD2F-FF33B258D497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4" personId="{FF57BDC8-32FA-46A8-81D1-98EC28C29EFA}" id="{205C4367-DFF6-4C00-B98C-D7EE797C3AE3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4" personId="{FF57BDC8-32FA-46A8-81D1-98EC28C29EFA}" id="{B04C69BB-FBFA-4707-B497-B0F3EAD5B703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4" personId="{FF57BDC8-32FA-46A8-81D1-98EC28C29EFA}" id="{6C8EEF9B-98B2-46B4-A4A6-AA246E5F0508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4" personId="{FF57BDC8-32FA-46A8-81D1-98EC28C29EFA}" id="{7911BA94-D7CF-4E11-A76C-A760B9421044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4" personId="{FF57BDC8-32FA-46A8-81D1-98EC28C29EFA}" id="{B7A85356-9475-4DA0-AC8E-FA22E6B9509B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4" personId="{FF57BDC8-32FA-46A8-81D1-98EC28C29EFA}" id="{2677D26D-C7F5-4B3E-9906-7A1D2B629C53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4" personId="{FF57BDC8-32FA-46A8-81D1-98EC28C29EFA}" id="{3DDCAD28-8456-4305-BE8B-16F9795C0B59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4" personId="{FF57BDC8-32FA-46A8-81D1-98EC28C29EFA}" id="{CE72850D-69D4-4108-931F-DB8485FC7211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4" personId="{FF57BDC8-32FA-46A8-81D1-98EC28C29EFA}" id="{5A2E8778-F5CA-474D-895C-4D7AE1EB347E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4" personId="{FF57BDC8-32FA-46A8-81D1-98EC28C29EFA}" id="{76297A06-A0E4-4C0A-83BD-9BA10DC735D9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4" personId="{FF57BDC8-32FA-46A8-81D1-98EC28C29EFA}" id="{A338E540-5553-4C6E-B067-1AD407E5CB46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4" personId="{FF57BDC8-32FA-46A8-81D1-98EC28C29EFA}" id="{E10E183D-D321-4B3C-BD6C-BFA55C65B3AB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4" personId="{FF57BDC8-32FA-46A8-81D1-98EC28C29EFA}" id="{D8906117-ABF3-4898-BFDD-54E515963A63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4" personId="{FF57BDC8-32FA-46A8-81D1-98EC28C29EFA}" id="{40EA058D-4B9F-48C0-B46C-A39AD2FEFE45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4" personId="{FF57BDC8-32FA-46A8-81D1-98EC28C29EFA}" id="{0D1FEE9B-CCDD-4BB6-B15D-AE6C1A4E903F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4" personId="{FF57BDC8-32FA-46A8-81D1-98EC28C29EFA}" id="{7ACD9452-D522-458E-8E70-5B73DDD94158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4" personId="{FF57BDC8-32FA-46A8-81D1-98EC28C29EFA}" id="{D81ED552-2D51-4FC7-B79C-87F7E98F0DD1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4" personId="{FF57BDC8-32FA-46A8-81D1-98EC28C29EFA}" id="{F3DD7124-99B5-465D-A921-653140ACE717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4" personId="{FF57BDC8-32FA-46A8-81D1-98EC28C29EFA}" id="{55407A85-4703-425E-BD20-1F0FE10577B6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4" personId="{FF57BDC8-32FA-46A8-81D1-98EC28C29EFA}" id="{95C8218A-218A-4F2E-801A-B16F35E917E7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4" personId="{FF57BDC8-32FA-46A8-81D1-98EC28C29EFA}" id="{AC607A7F-8566-4AD7-BF16-8078DA905B98}">
    <xltc:text>Illustrative Finin2min input (2026-10-25); Months per year. Annualisation. Replace with documented actuals. Not a market quotation, legal rate or government fee.</xltc:text>
  </xltc:threadedComment>
  <xltc:threadedComment ref="C31" dT="2026-10-24T21:06:59.134" personId="{FF57BDC8-32FA-46A8-81D1-98EC28C29EFA}" id="{93AB1B56-52CA-414F-BB47-A4EE44992316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4" personId="{FF57BDC8-32FA-46A8-81D1-98EC28C29EFA}" id="{87F42269-6FE7-4387-90FE-B21474B12F4B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4" personId="{FF57BDC8-32FA-46A8-81D1-98EC28C29EFA}" id="{CD23115B-AB26-457D-91B6-E630400F2C37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4" personId="{FF57BDC8-32FA-46A8-81D1-98EC28C29EFA}" id="{20B7ACDF-F65B-4611-804D-8A870522E5C6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4" personId="{FF57BDC8-32FA-46A8-81D1-98EC28C29EFA}" id="{28FD6A2F-C006-4079-A0AC-656B3660E375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4" personId="{FF57BDC8-32FA-46A8-81D1-98EC28C29EFA}" id="{FE7A04CB-4CC4-4ECA-949A-509540BA5FE4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6.xml><?xml version="1.0" encoding="utf-8"?>
<xltc:ThreadedComments xmlns:xltc="http://schemas.microsoft.com/office/spreadsheetml/2018/threadedcomments">
  <xltc:threadedComment ref="C6" dT="2026-10-24T21:06:59.134" personId="{FF57BDC8-32FA-46A8-81D1-98EC28C29EFA}" id="{C8921B54-24AA-4F6F-986A-3FD1E7651C25}">
    <xltc:text>Illustrative Finin2min input (2026-10-25); Monthly retained/billable volume. completed shipments. Replace with documented actuals. Not a market quotation, legal rate or government fee.</xltc:text>
  </xltc:threadedComment>
  <xltc:threadedComment ref="C7" dT="2026-10-24T21:06:59.134" personId="{FF57BDC8-32FA-46A8-81D1-98EC28C29EFA}" id="{FA7EE644-3F81-4A46-A3CE-D2C9D85F1783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4" personId="{FF57BDC8-32FA-46A8-81D1-98EC28C29EFA}" id="{84D15678-B6AB-4155-8877-B7B1332AC415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4" personId="{FF57BDC8-32FA-46A8-81D1-98EC28C29EFA}" id="{63CA2C0C-FB4D-4CB9-8253-A73C1BE8E6B5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4" personId="{FF57BDC8-32FA-46A8-81D1-98EC28C29EFA}" id="{9C4085FB-9613-4496-87F9-A4E9A9CB86AD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4" personId="{FF57BDC8-32FA-46A8-81D1-98EC28C29EFA}" id="{95EE06FF-176A-4FB1-A783-796EF2FED295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4" personId="{FF57BDC8-32FA-46A8-81D1-98EC28C29EFA}" id="{45C8BEAE-6C99-423B-B9AE-6C4146043C10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4" personId="{FF57BDC8-32FA-46A8-81D1-98EC28C29EFA}" id="{3C5122F3-67F7-4B03-BC29-55CEB1C683BE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4" personId="{FF57BDC8-32FA-46A8-81D1-98EC28C29EFA}" id="{C22D2970-BFFF-41FD-BC06-7A31D557E406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4" personId="{FF57BDC8-32FA-46A8-81D1-98EC28C29EFA}" id="{F035A1DA-C324-49EA-83B6-798A37CDB4EE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4" personId="{FF57BDC8-32FA-46A8-81D1-98EC28C29EFA}" id="{A10AB50A-E8FB-40AE-A74A-1D9A7F208CEB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4" personId="{FF57BDC8-32FA-46A8-81D1-98EC28C29EFA}" id="{A2381418-EB15-4828-B952-E5C8C4404D9C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4" personId="{FF57BDC8-32FA-46A8-81D1-98EC28C29EFA}" id="{3AB17211-3D5C-4BEB-A870-8800D09BCFF5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4" personId="{FF57BDC8-32FA-46A8-81D1-98EC28C29EFA}" id="{5DB46D5C-32C9-4BF8-B810-6E875493BFB1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4" personId="{FF57BDC8-32FA-46A8-81D1-98EC28C29EFA}" id="{376255AD-0231-4DC4-9164-AEF99117685F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4" personId="{FF57BDC8-32FA-46A8-81D1-98EC28C29EFA}" id="{6C4E8809-8509-4FE1-BD32-586F1226D64A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4" personId="{FF57BDC8-32FA-46A8-81D1-98EC28C29EFA}" id="{B20A421D-4EDD-489D-B0EA-02C6E6DD2965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4" personId="{FF57BDC8-32FA-46A8-81D1-98EC28C29EFA}" id="{B0F439DB-1021-4D92-905E-8D351BC9D889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4" personId="{FF57BDC8-32FA-46A8-81D1-98EC28C29EFA}" id="{70EE5C9D-F299-45C6-8494-EE5E9BB1E1B0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4" personId="{FF57BDC8-32FA-46A8-81D1-98EC28C29EFA}" id="{346318D9-491A-40F9-9DAC-1AFD511F7655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4" personId="{FF57BDC8-32FA-46A8-81D1-98EC28C29EFA}" id="{AAE3B92F-9124-4820-92A4-920DE1335125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4" personId="{FF57BDC8-32FA-46A8-81D1-98EC28C29EFA}" id="{4D644A6F-E188-4449-8CED-4EF9991A3DE0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4" personId="{FF57BDC8-32FA-46A8-81D1-98EC28C29EFA}" id="{AC35A9BB-5727-4F04-9139-2E4E30DE30D2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4" personId="{FF57BDC8-32FA-46A8-81D1-98EC28C29EFA}" id="{70D630FB-E091-4A20-84FA-765309655E17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4" personId="{FF57BDC8-32FA-46A8-81D1-98EC28C29EFA}" id="{D44D28A3-A708-4D5F-87B0-2C599BCD2547}">
    <xltc:text>Illustrative Finin2min input (2026-10-25); Months per year. Annualisation. Replace with documented actuals. Not a market quotation, legal rate or government fee.</xltc:text>
  </xltc:threadedComment>
  <xltc:threadedComment ref="C31" dT="2026-10-24T21:06:59.134" personId="{FF57BDC8-32FA-46A8-81D1-98EC28C29EFA}" id="{B6283042-15BB-4E94-8887-CA4879B9C951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4" personId="{FF57BDC8-32FA-46A8-81D1-98EC28C29EFA}" id="{D853788C-5967-4A48-BEE3-64154C1071A1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4" personId="{FF57BDC8-32FA-46A8-81D1-98EC28C29EFA}" id="{0FEFA9EA-14C9-4D1A-B5CB-A860493754D4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4" personId="{FF57BDC8-32FA-46A8-81D1-98EC28C29EFA}" id="{03F3086C-1429-4682-B221-A8F207DF206C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4" personId="{FF57BDC8-32FA-46A8-81D1-98EC28C29EFA}" id="{C2209B13-F918-41CB-AC35-754E000F0D4F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4" personId="{FF57BDC8-32FA-46A8-81D1-98EC28C29EFA}" id="{E133B7CB-F2C2-471E-9A54-DD0607486163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7.xml><?xml version="1.0" encoding="utf-8"?>
<xltc:ThreadedComments xmlns:xltc="http://schemas.microsoft.com/office/spreadsheetml/2018/threadedcomments">
  <xltc:threadedComment ref="C6" dT="2026-10-24T21:06:59.134" personId="{FF57BDC8-32FA-46A8-81D1-98EC28C29EFA}" id="{C387D6BC-7466-4829-8D91-AFE1719863BA}">
    <xltc:text>Illustrative Finin2min input (2026-10-25); Monthly retained/billable volume. completed appointments. Replace with documented actuals. Not a market quotation, legal rate or government fee.</xltc:text>
  </xltc:threadedComment>
  <xltc:threadedComment ref="C7" dT="2026-10-24T21:06:59.134" personId="{FF57BDC8-32FA-46A8-81D1-98EC28C29EFA}" id="{F2A4B532-0712-4691-8308-9DCAA88CDBE5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4" personId="{FF57BDC8-32FA-46A8-81D1-98EC28C29EFA}" id="{4DEAC1F2-434F-4152-9CE3-A579B4ACACC0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4" personId="{FF57BDC8-32FA-46A8-81D1-98EC28C29EFA}" id="{F9D7B40B-4184-4C2A-92E4-73F7331B7DB6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4" personId="{FF57BDC8-32FA-46A8-81D1-98EC28C29EFA}" id="{144E6E45-C9D8-4DB6-9B10-7B7A3B59A439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4" personId="{FF57BDC8-32FA-46A8-81D1-98EC28C29EFA}" id="{CE09B560-7E12-4984-B67D-35D1A729F8F6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4" personId="{FF57BDC8-32FA-46A8-81D1-98EC28C29EFA}" id="{11C1FCC6-4D3C-462C-A860-8CEF3CD0B417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4" personId="{FF57BDC8-32FA-46A8-81D1-98EC28C29EFA}" id="{B071855A-2593-4EDB-BAB5-FA2FB794C1A8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4" personId="{FF57BDC8-32FA-46A8-81D1-98EC28C29EFA}" id="{2D4561C8-7829-4C38-9203-36220E68F60A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4" personId="{FF57BDC8-32FA-46A8-81D1-98EC28C29EFA}" id="{E2F97EEE-BA41-471E-8181-098F40C9BC67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4" personId="{FF57BDC8-32FA-46A8-81D1-98EC28C29EFA}" id="{331E1D3E-8500-4FE6-896C-53D84D5F6306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4" personId="{FF57BDC8-32FA-46A8-81D1-98EC28C29EFA}" id="{20CF61E6-9CE9-4B23-A9D6-A0F3F8F54DA7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4" personId="{FF57BDC8-32FA-46A8-81D1-98EC28C29EFA}" id="{4681DE1C-FE99-43EB-9560-5629816E052A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4" personId="{FF57BDC8-32FA-46A8-81D1-98EC28C29EFA}" id="{9E45B523-97C8-4FCF-866F-B5F183A9333A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4" personId="{FF57BDC8-32FA-46A8-81D1-98EC28C29EFA}" id="{768A955F-7988-4883-BF66-2E8E57BB0152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4" personId="{FF57BDC8-32FA-46A8-81D1-98EC28C29EFA}" id="{9565EE19-D1AE-443A-A2F9-6622C929F8AD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4" personId="{FF57BDC8-32FA-46A8-81D1-98EC28C29EFA}" id="{06083CB0-46B4-4D55-B49B-4607B7EF9BA2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5" personId="{FF57BDC8-32FA-46A8-81D1-98EC28C29EFA}" id="{5BD4856E-99C4-4476-BA0E-4B2C04B9788E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5" personId="{FF57BDC8-32FA-46A8-81D1-98EC28C29EFA}" id="{32D2D74E-E7C5-463E-A9E9-AC30CA2D4424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5" personId="{FF57BDC8-32FA-46A8-81D1-98EC28C29EFA}" id="{C2C8DD30-746C-4598-8CDB-0F8F9B4E0D45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5" personId="{FF57BDC8-32FA-46A8-81D1-98EC28C29EFA}" id="{2E988221-0EEA-4B4D-857D-5E6384ED4545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5" personId="{FF57BDC8-32FA-46A8-81D1-98EC28C29EFA}" id="{667A3957-6860-4BCA-A821-AC3ED5FD3EDE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5" personId="{FF57BDC8-32FA-46A8-81D1-98EC28C29EFA}" id="{A27AAC1A-E571-4CDD-A4EE-0241E1BE0970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5" personId="{FF57BDC8-32FA-46A8-81D1-98EC28C29EFA}" id="{0BE810A4-5FD3-4CDF-89FC-9A7978CECF8B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5" personId="{FF57BDC8-32FA-46A8-81D1-98EC28C29EFA}" id="{F840CFC0-0D60-40AD-A645-C446C1BDC035}">
    <xltc:text>Illustrative Finin2min input (2026-10-25); Months per year. Annualisation. Replace with documented actuals. Not a market quotation, legal rate or government fee.</xltc:text>
  </xltc:threadedComment>
  <xltc:threadedComment ref="C31" dT="2026-10-24T21:06:59.135" personId="{FF57BDC8-32FA-46A8-81D1-98EC28C29EFA}" id="{DE758C67-2051-4F9F-81E1-B8E11E3979B4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5" personId="{FF57BDC8-32FA-46A8-81D1-98EC28C29EFA}" id="{1663FD3D-6487-467F-A0CD-CE58C2921D81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5" personId="{FF57BDC8-32FA-46A8-81D1-98EC28C29EFA}" id="{B3BF4E6F-DCAB-4A57-A362-634AA64C3970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5" personId="{FF57BDC8-32FA-46A8-81D1-98EC28C29EFA}" id="{956F2DCF-122A-42C1-BE3D-F8565AEA2B6A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5" personId="{FF57BDC8-32FA-46A8-81D1-98EC28C29EFA}" id="{C721B86B-5F92-4443-A26C-8792519628BD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5" personId="{FF57BDC8-32FA-46A8-81D1-98EC28C29EFA}" id="{8F12FCDC-593D-4BD8-8658-57B2F84F08DE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8.xml><?xml version="1.0" encoding="utf-8"?>
<xltc:ThreadedComments xmlns:xltc="http://schemas.microsoft.com/office/spreadsheetml/2018/threadedcomments">
  <xltc:threadedComment ref="C6" dT="2026-10-24T21:06:59.135" personId="{FF57BDC8-32FA-46A8-81D1-98EC28C29EFA}" id="{EF87E6B0-4D6C-4762-8378-0ED38DC0DC60}">
    <xltc:text>Illustrative Finin2min input (2026-10-25); Monthly retained/billable volume. active member-months. Replace with documented actuals. Not a market quotation, legal rate or government fee.</xltc:text>
  </xltc:threadedComment>
  <xltc:threadedComment ref="C7" dT="2026-10-24T21:06:59.135" personId="{FF57BDC8-32FA-46A8-81D1-98EC28C29EFA}" id="{7AFD201B-13FF-4AC4-9136-9F94D72F3E0E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5" personId="{FF57BDC8-32FA-46A8-81D1-98EC28C29EFA}" id="{6BB7457A-8668-428D-AC6D-75AE92D90631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5" personId="{FF57BDC8-32FA-46A8-81D1-98EC28C29EFA}" id="{824882F4-35C8-4CEB-BA59-37D3BDA18D63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5" personId="{FF57BDC8-32FA-46A8-81D1-98EC28C29EFA}" id="{779804AF-DD99-4466-A762-14BA93FB9322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5" personId="{FF57BDC8-32FA-46A8-81D1-98EC28C29EFA}" id="{1D36E543-EBCF-428F-A3B7-BB1AB786FD90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5" personId="{FF57BDC8-32FA-46A8-81D1-98EC28C29EFA}" id="{C1632A08-D798-4D0A-BE17-5704B1328567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5" personId="{FF57BDC8-32FA-46A8-81D1-98EC28C29EFA}" id="{D85ABD50-4FC0-4879-87BF-AB9E00355211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5" personId="{FF57BDC8-32FA-46A8-81D1-98EC28C29EFA}" id="{6D10359B-1D59-4CC2-BC5F-EAE936FD8BD4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5" personId="{FF57BDC8-32FA-46A8-81D1-98EC28C29EFA}" id="{752AA762-36C6-4BE5-9894-A1E27E670E07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5" personId="{FF57BDC8-32FA-46A8-81D1-98EC28C29EFA}" id="{A1E6E71D-E934-4DE9-BF5C-F279A314B9FC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5" personId="{FF57BDC8-32FA-46A8-81D1-98EC28C29EFA}" id="{371EA5F6-9F17-426B-AEBF-FD99C135642E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5" personId="{FF57BDC8-32FA-46A8-81D1-98EC28C29EFA}" id="{80648772-A95D-44C1-97DE-9A6D641CE121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5" personId="{FF57BDC8-32FA-46A8-81D1-98EC28C29EFA}" id="{798C9034-9545-4100-B4BA-9DD71BD1E988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5" personId="{FF57BDC8-32FA-46A8-81D1-98EC28C29EFA}" id="{4862FFDA-9CB3-42BC-94A5-7F0A95F95564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5" personId="{FF57BDC8-32FA-46A8-81D1-98EC28C29EFA}" id="{3B7D3BA8-21CC-4C5D-88DD-06CFDAC3FE1E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5" personId="{FF57BDC8-32FA-46A8-81D1-98EC28C29EFA}" id="{28976436-C5E4-47FF-AAA3-07EC25793715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5" personId="{FF57BDC8-32FA-46A8-81D1-98EC28C29EFA}" id="{29D54CF3-56D6-437E-B63F-F264EDFD8BA1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5" personId="{FF57BDC8-32FA-46A8-81D1-98EC28C29EFA}" id="{7F1C1FB2-6F8C-4FED-BA3F-CBE2CFA34FF8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5" personId="{FF57BDC8-32FA-46A8-81D1-98EC28C29EFA}" id="{8B1E9F10-19B4-4456-84D7-9E96DD2FE58A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5" personId="{FF57BDC8-32FA-46A8-81D1-98EC28C29EFA}" id="{E9C0FD78-16BB-4950-859F-0B60B4F747CA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5" personId="{FF57BDC8-32FA-46A8-81D1-98EC28C29EFA}" id="{B64549F5-6C20-459C-9743-014AF300A556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5" personId="{FF57BDC8-32FA-46A8-81D1-98EC28C29EFA}" id="{20F5E24B-943E-4FA0-8970-BBF0F3AFBD55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5" personId="{FF57BDC8-32FA-46A8-81D1-98EC28C29EFA}" id="{EF76B4CE-3054-4532-834A-663704D55161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5" personId="{FF57BDC8-32FA-46A8-81D1-98EC28C29EFA}" id="{F35A8CEA-E292-40A6-A9F1-2A2AB12328C7}">
    <xltc:text>Illustrative Finin2min input (2026-10-25); Months per year. Annualisation. Replace with documented actuals. Not a market quotation, legal rate or government fee.</xltc:text>
  </xltc:threadedComment>
  <xltc:threadedComment ref="C31" dT="2026-10-24T21:06:59.135" personId="{FF57BDC8-32FA-46A8-81D1-98EC28C29EFA}" id="{405FC978-8434-424E-AB6B-437B56FADE50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5" personId="{FF57BDC8-32FA-46A8-81D1-98EC28C29EFA}" id="{AA9E32AC-44B0-45A1-B5CB-2A5880FA1426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5" personId="{FF57BDC8-32FA-46A8-81D1-98EC28C29EFA}" id="{52B17764-70FC-4AFD-ABF1-592838D3B88A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5" personId="{FF57BDC8-32FA-46A8-81D1-98EC28C29EFA}" id="{EBACE182-0C2C-41E6-A7E8-89F70376DB4E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5" personId="{FF57BDC8-32FA-46A8-81D1-98EC28C29EFA}" id="{5C6952DC-19A4-4ED9-A4F3-B13538E6D607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5" personId="{FF57BDC8-32FA-46A8-81D1-98EC28C29EFA}" id="{082B6601-7308-42FF-8D3D-0F85AADD29AF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9.xml><?xml version="1.0" encoding="utf-8"?>
<xltc:ThreadedComments xmlns:xltc="http://schemas.microsoft.com/office/spreadsheetml/2018/threadedcomments">
  <xltc:threadedComment ref="C6" dT="2026-10-24T21:06:59.135" personId="{FF57BDC8-32FA-46A8-81D1-98EC28C29EFA}" id="{DC7CE5C5-A0A8-4E60-8A9B-47A712394D8A}">
    <xltc:text>Illustrative Finin2min input (2026-10-25); Monthly retained/billable volume. occupied child-months. Replace with documented actuals. Not a market quotation, legal rate or government fee.</xltc:text>
  </xltc:threadedComment>
  <xltc:threadedComment ref="C7" dT="2026-10-24T21:06:59.135" personId="{FF57BDC8-32FA-46A8-81D1-98EC28C29EFA}" id="{99247B95-00E7-4628-B252-D8A9624E57A4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5" personId="{FF57BDC8-32FA-46A8-81D1-98EC28C29EFA}" id="{387CC486-EF41-4120-8211-29B617830F85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5" personId="{FF57BDC8-32FA-46A8-81D1-98EC28C29EFA}" id="{26291ABE-7C9B-4138-A21E-3FB8A2D10BE9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5" personId="{FF57BDC8-32FA-46A8-81D1-98EC28C29EFA}" id="{09471CFF-AB5D-4D87-A3DE-90AC6746DC9A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5" personId="{FF57BDC8-32FA-46A8-81D1-98EC28C29EFA}" id="{ABF48855-A64D-4709-AB13-284D9C8833A6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5" personId="{FF57BDC8-32FA-46A8-81D1-98EC28C29EFA}" id="{52F26B52-E4D3-46F1-A83D-211F9A56F670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5" personId="{FF57BDC8-32FA-46A8-81D1-98EC28C29EFA}" id="{6B8C1EC9-1A44-448D-BD40-7A16DED1AFF9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5" personId="{FF57BDC8-32FA-46A8-81D1-98EC28C29EFA}" id="{5826E5F3-21BC-4E20-8D15-4635E1DC9411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5" personId="{FF57BDC8-32FA-46A8-81D1-98EC28C29EFA}" id="{D833578C-1AA4-426D-8500-182D644A0CF7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5" personId="{FF57BDC8-32FA-46A8-81D1-98EC28C29EFA}" id="{A6F5490C-E7ED-431B-ACEC-9E353353582B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5" personId="{FF57BDC8-32FA-46A8-81D1-98EC28C29EFA}" id="{29BCDD99-F53D-46D9-B0CC-10D6D8618AC7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5" personId="{FF57BDC8-32FA-46A8-81D1-98EC28C29EFA}" id="{4A73E702-D946-4817-AC25-15A006FAB2E7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5" personId="{FF57BDC8-32FA-46A8-81D1-98EC28C29EFA}" id="{EEA06BA4-C586-4242-BF5C-25DEFDC519A5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5" personId="{FF57BDC8-32FA-46A8-81D1-98EC28C29EFA}" id="{410DDB2C-99CD-4C73-AB58-E8B9D5F0723B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5" personId="{FF57BDC8-32FA-46A8-81D1-98EC28C29EFA}" id="{48340EAD-3939-4563-8453-3864A0C41E5E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5" personId="{FF57BDC8-32FA-46A8-81D1-98EC28C29EFA}" id="{4D442D95-54EC-4379-932D-44FE8AEA5255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5" personId="{FF57BDC8-32FA-46A8-81D1-98EC28C29EFA}" id="{4015A8A2-6AC4-4137-8D70-0193DF42A4CC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5" personId="{FF57BDC8-32FA-46A8-81D1-98EC28C29EFA}" id="{750A2A07-A618-4052-8D00-53FF2013D5F4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5" personId="{FF57BDC8-32FA-46A8-81D1-98EC28C29EFA}" id="{32A8693B-A697-49DA-A29F-C2F6845DE16F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5" personId="{FF57BDC8-32FA-46A8-81D1-98EC28C29EFA}" id="{507AA0B7-1720-411B-AD80-1912CC6D1A7D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5" personId="{FF57BDC8-32FA-46A8-81D1-98EC28C29EFA}" id="{44081E70-2371-40F2-A84A-F9346863F333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5" personId="{FF57BDC8-32FA-46A8-81D1-98EC28C29EFA}" id="{94540760-C1DA-4019-8418-9C4077D3E186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5" personId="{FF57BDC8-32FA-46A8-81D1-98EC28C29EFA}" id="{EC8E09F3-AD2E-4662-BD8F-0F006830A628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5" personId="{FF57BDC8-32FA-46A8-81D1-98EC28C29EFA}" id="{BAD71503-6ED9-456A-B8E0-3E05135CE866}">
    <xltc:text>Illustrative Finin2min input (2026-10-25); Months per year. Annualisation. Replace with documented actuals. Not a market quotation, legal rate or government fee.</xltc:text>
  </xltc:threadedComment>
  <xltc:threadedComment ref="C31" dT="2026-10-24T21:06:59.135" personId="{FF57BDC8-32FA-46A8-81D1-98EC28C29EFA}" id="{E592F5BE-B2A3-4F69-90C4-681FF8DCD42C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5" personId="{FF57BDC8-32FA-46A8-81D1-98EC28C29EFA}" id="{87DD6D78-EF5B-4C03-9E7C-7F818AB5058E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5" personId="{FF57BDC8-32FA-46A8-81D1-98EC28C29EFA}" id="{FE4C02D5-9FAE-4CE1-9AEB-43AD90296105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5" personId="{FF57BDC8-32FA-46A8-81D1-98EC28C29EFA}" id="{4C704B5D-4A91-49B5-BB14-5DF7AABA061A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5" personId="{FF57BDC8-32FA-46A8-81D1-98EC28C29EFA}" id="{E1EA4782-512D-4172-A21F-801EB2DC8495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5" personId="{FF57BDC8-32FA-46A8-81D1-98EC28C29EFA}" id="{DB1D7C67-C63B-49C2-B164-179C91C72F2B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0.xml><?xml version="1.0" encoding="utf-8"?>
<xltc:ThreadedComments xmlns:xltc="http://schemas.microsoft.com/office/spreadsheetml/2018/threadedcomments">
  <xltc:threadedComment ref="C6" dT="2026-10-24T21:06:59.135" personId="{FF57BDC8-32FA-46A8-81D1-98EC28C29EFA}" id="{5F0962C3-EAA9-4860-A59D-60119267B744}">
    <xltc:text>Illustrative Finin2min input (2026-10-25); Monthly retained/billable volume. active learner-months. Replace with documented actuals. Not a market quotation, legal rate or government fee.</xltc:text>
  </xltc:threadedComment>
  <xltc:threadedComment ref="C7" dT="2026-10-24T21:06:59.135" personId="{FF57BDC8-32FA-46A8-81D1-98EC28C29EFA}" id="{75866E7B-5901-4D93-AF6C-0A92A8BB2F74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5" personId="{FF57BDC8-32FA-46A8-81D1-98EC28C29EFA}" id="{5799329F-C82C-400B-A847-4C8BD91C6B50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5" personId="{FF57BDC8-32FA-46A8-81D1-98EC28C29EFA}" id="{6317925A-43F4-4494-87A6-95C937350238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5" personId="{FF57BDC8-32FA-46A8-81D1-98EC28C29EFA}" id="{F5E975E8-AD4C-48BC-A5FC-665BA5E06BE2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5" personId="{FF57BDC8-32FA-46A8-81D1-98EC28C29EFA}" id="{A8A93F43-CBB0-4709-94BC-3491CA80A2CC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5" personId="{FF57BDC8-32FA-46A8-81D1-98EC28C29EFA}" id="{E34BED8B-9048-409B-BA93-51150886A274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5" personId="{FF57BDC8-32FA-46A8-81D1-98EC28C29EFA}" id="{72D3CABB-2E12-48CC-BE57-FF7496F6804D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5" personId="{FF57BDC8-32FA-46A8-81D1-98EC28C29EFA}" id="{0CFF5909-3974-4C7C-AC5D-4E6852D271D0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5" personId="{FF57BDC8-32FA-46A8-81D1-98EC28C29EFA}" id="{060DB333-A6E8-48FA-956B-5FCCEA6A256A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5" personId="{FF57BDC8-32FA-46A8-81D1-98EC28C29EFA}" id="{56CFD2A5-8158-475E-94D5-F452DFE856C6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5" personId="{FF57BDC8-32FA-46A8-81D1-98EC28C29EFA}" id="{30EAB654-C285-4D89-8EA1-EB8699F2E15F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5" personId="{FF57BDC8-32FA-46A8-81D1-98EC28C29EFA}" id="{4CA89BDF-A2FC-458C-A3AC-DA59429AAC7F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5" personId="{FF57BDC8-32FA-46A8-81D1-98EC28C29EFA}" id="{B407112C-A822-40EF-8A38-DDFED11CF96E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5" personId="{FF57BDC8-32FA-46A8-81D1-98EC28C29EFA}" id="{08B7AA4C-D8EE-49D9-9979-71EF07627AAE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5" personId="{FF57BDC8-32FA-46A8-81D1-98EC28C29EFA}" id="{EFB5072A-85E9-4FDA-96A5-A716C4E7DD51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5" personId="{FF57BDC8-32FA-46A8-81D1-98EC28C29EFA}" id="{6D225EED-E023-4A3F-B368-45EDF16BA578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5" personId="{FF57BDC8-32FA-46A8-81D1-98EC28C29EFA}" id="{68B1089F-EA9A-4AB9-AA55-FA9FCA313A0E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5" personId="{FF57BDC8-32FA-46A8-81D1-98EC28C29EFA}" id="{6D69D418-D776-4748-95F7-EC8A983E17C1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5" personId="{FF57BDC8-32FA-46A8-81D1-98EC28C29EFA}" id="{ED69A999-349F-4C4F-9A39-71A2A691BC0B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5" personId="{FF57BDC8-32FA-46A8-81D1-98EC28C29EFA}" id="{80E61237-2E6B-4DE1-B21A-D3EF9C7CD454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5" personId="{FF57BDC8-32FA-46A8-81D1-98EC28C29EFA}" id="{C7C21713-3AAF-4FA6-AD76-E8E61FDB162B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5" personId="{FF57BDC8-32FA-46A8-81D1-98EC28C29EFA}" id="{C4857708-A84E-4C8C-B8E3-1E245C06C3A5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5" personId="{FF57BDC8-32FA-46A8-81D1-98EC28C29EFA}" id="{7895107A-8412-4996-8027-1E928253F7C0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5" personId="{FF57BDC8-32FA-46A8-81D1-98EC28C29EFA}" id="{7012DE14-48AD-453D-8793-28013603690A}">
    <xltc:text>Illustrative Finin2min input (2026-10-25); Months per year. Annualisation. Replace with documented actuals. Not a market quotation, legal rate or government fee.</xltc:text>
  </xltc:threadedComment>
  <xltc:threadedComment ref="C31" dT="2026-10-24T21:06:59.135" personId="{FF57BDC8-32FA-46A8-81D1-98EC28C29EFA}" id="{E0AC85EF-BA48-4C39-8077-B6AC7B1F315D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5" personId="{FF57BDC8-32FA-46A8-81D1-98EC28C29EFA}" id="{7602A65C-30C7-449B-8C20-0E987137D0CC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5" personId="{FF57BDC8-32FA-46A8-81D1-98EC28C29EFA}" id="{E8445D6A-958D-45FA-9085-583D3E7CBAB8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5" personId="{FF57BDC8-32FA-46A8-81D1-98EC28C29EFA}" id="{083AF33D-D5D1-4C6B-935A-3D07EBA30C0C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5" personId="{FF57BDC8-32FA-46A8-81D1-98EC28C29EFA}" id="{1AE467A4-98A1-4AF8-B314-6B84AA9C2813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5" personId="{FF57BDC8-32FA-46A8-81D1-98EC28C29EFA}" id="{0E42C92D-E1D4-4056-B27E-17E213F1F822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1.xml><?xml version="1.0" encoding="utf-8"?>
<xltc:ThreadedComments xmlns:xltc="http://schemas.microsoft.com/office/spreadsheetml/2018/threadedcomments">
  <xltc:threadedComment ref="C6" dT="2026-10-24T21:06:59.135" personId="{FF57BDC8-32FA-46A8-81D1-98EC28C29EFA}" id="{BEF3D5A7-B4B7-4E8F-B4F9-3BC141F438F1}">
    <xltc:text>Illustrative Finin2min input (2026-10-25); Monthly retained/billable volume. completed bookings. Replace with documented actuals. Not a market quotation, legal rate or government fee.</xltc:text>
  </xltc:threadedComment>
  <xltc:threadedComment ref="C7" dT="2026-10-24T21:06:59.135" personId="{FF57BDC8-32FA-46A8-81D1-98EC28C29EFA}" id="{CCE99EAC-A103-4841-A37C-97B0683158AB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5" personId="{FF57BDC8-32FA-46A8-81D1-98EC28C29EFA}" id="{B30CE400-2BEC-41E5-B6AE-F28FB00B9512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5" personId="{FF57BDC8-32FA-46A8-81D1-98EC28C29EFA}" id="{4C3B52DA-020D-447D-8CC4-8BA407F06590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5" personId="{FF57BDC8-32FA-46A8-81D1-98EC28C29EFA}" id="{B1D7BBBF-938B-4FE9-B40B-4684B1563715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5" personId="{FF57BDC8-32FA-46A8-81D1-98EC28C29EFA}" id="{493F29A5-73B1-481C-AC5D-7BF383B52303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5" personId="{FF57BDC8-32FA-46A8-81D1-98EC28C29EFA}" id="{9733ADD4-1C27-44BF-B38F-AF2DDDBC18C1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5" personId="{FF57BDC8-32FA-46A8-81D1-98EC28C29EFA}" id="{541F5672-0418-48D4-B069-5D60B25CB6FA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5" personId="{FF57BDC8-32FA-46A8-81D1-98EC28C29EFA}" id="{6BF94045-54C3-4DE6-91C6-23CE40619200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5" personId="{FF57BDC8-32FA-46A8-81D1-98EC28C29EFA}" id="{52B19D7F-35DB-425E-A5E8-0CE1F8175A29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5" personId="{FF57BDC8-32FA-46A8-81D1-98EC28C29EFA}" id="{62544776-AA55-48E0-8DBA-181585780B41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5" personId="{FF57BDC8-32FA-46A8-81D1-98EC28C29EFA}" id="{2F592FBC-017D-4476-903D-959AFA9EBB86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5" personId="{FF57BDC8-32FA-46A8-81D1-98EC28C29EFA}" id="{24527858-CD6B-4FC2-9F23-D1B7F871025A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5" personId="{FF57BDC8-32FA-46A8-81D1-98EC28C29EFA}" id="{9D8F4F39-3B0B-40F2-AD84-7A45BE290EC6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5" personId="{FF57BDC8-32FA-46A8-81D1-98EC28C29EFA}" id="{2ECAFEB0-5E31-4F32-942F-EA985BA403BB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6" personId="{FF57BDC8-32FA-46A8-81D1-98EC28C29EFA}" id="{45E31DB5-A6C8-469F-916A-17F2316A7EE2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6" personId="{FF57BDC8-32FA-46A8-81D1-98EC28C29EFA}" id="{41DD4A09-E699-4A17-84E3-A7F7DCBB642F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6" personId="{FF57BDC8-32FA-46A8-81D1-98EC28C29EFA}" id="{F3485778-79E6-4651-93DF-F0980890EDF0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6" personId="{FF57BDC8-32FA-46A8-81D1-98EC28C29EFA}" id="{3D290739-3818-443B-86D0-A7E9788059A4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6" personId="{FF57BDC8-32FA-46A8-81D1-98EC28C29EFA}" id="{1530B5FB-FB85-4D40-98B8-963CA9255B4A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6" personId="{FF57BDC8-32FA-46A8-81D1-98EC28C29EFA}" id="{93B059F4-F2E5-45DD-9A98-1A256A84CD4E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6" personId="{FF57BDC8-32FA-46A8-81D1-98EC28C29EFA}" id="{0E319EEF-BBEE-4170-938E-8FAFEBF9577A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6" personId="{FF57BDC8-32FA-46A8-81D1-98EC28C29EFA}" id="{5285A821-C630-4959-9042-3A1512AE4E30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6" personId="{FF57BDC8-32FA-46A8-81D1-98EC28C29EFA}" id="{763D1435-9955-48C4-9FB4-CD9ACDF5C5DE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6" personId="{FF57BDC8-32FA-46A8-81D1-98EC28C29EFA}" id="{0560CD4D-43C5-465A-895A-3F793DF897F5}">
    <xltc:text>Illustrative Finin2min input (2026-10-25); Months per year. Annualisation. Replace with documented actuals. Not a market quotation, legal rate or government fee.</xltc:text>
  </xltc:threadedComment>
  <xltc:threadedComment ref="C31" dT="2026-10-24T21:06:59.136" personId="{FF57BDC8-32FA-46A8-81D1-98EC28C29EFA}" id="{C9645AF6-25E4-49B9-9850-690011940EFC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6" personId="{FF57BDC8-32FA-46A8-81D1-98EC28C29EFA}" id="{1559CE80-9FC1-4E03-9A9A-E88EEFB510A8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6" personId="{FF57BDC8-32FA-46A8-81D1-98EC28C29EFA}" id="{852D3DF8-9E59-486C-96E8-E86C61A1A695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6" personId="{FF57BDC8-32FA-46A8-81D1-98EC28C29EFA}" id="{C3BE98C7-0215-4142-8531-B359C60942D2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6" personId="{FF57BDC8-32FA-46A8-81D1-98EC28C29EFA}" id="{3F8158E0-8B7D-4DBE-B57E-6A4EEDC23B1B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6" personId="{FF57BDC8-32FA-46A8-81D1-98EC28C29EFA}" id="{7E2F901F-FF65-4BB5-9D75-BDF1FB2992E0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2.xml><?xml version="1.0" encoding="utf-8"?>
<xltc:ThreadedComments xmlns:xltc="http://schemas.microsoft.com/office/spreadsheetml/2018/threadedcomments">
  <xltc:threadedComment ref="C6" dT="2026-10-24T21:06:59.136" personId="{FF57BDC8-32FA-46A8-81D1-98EC28C29EFA}" id="{B32227A2-741C-40E7-ADEC-984F31458F01}">
    <xltc:text>Illustrative Finin2min input (2026-10-25); Monthly retained/billable volume. billable kilometres. Replace with documented actuals. Not a market quotation, legal rate or government fee.</xltc:text>
  </xltc:threadedComment>
  <xltc:threadedComment ref="C7" dT="2026-10-24T21:06:59.136" personId="{FF57BDC8-32FA-46A8-81D1-98EC28C29EFA}" id="{CDF79F98-875F-41A0-B706-8004D02D09B4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6" personId="{FF57BDC8-32FA-46A8-81D1-98EC28C29EFA}" id="{8837D2B8-0840-4064-B18F-BE73F15BCE6E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6" personId="{FF57BDC8-32FA-46A8-81D1-98EC28C29EFA}" id="{551590BE-BBF5-48A7-9E3A-1950FBE0412A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6" personId="{FF57BDC8-32FA-46A8-81D1-98EC28C29EFA}" id="{68FDFC01-0288-42B1-8FB1-51BA6379B278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6" personId="{FF57BDC8-32FA-46A8-81D1-98EC28C29EFA}" id="{8AC89DF8-F5FF-48B1-A72F-6147A08B5ABC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6" personId="{FF57BDC8-32FA-46A8-81D1-98EC28C29EFA}" id="{D8D847B0-DDF2-473F-A229-623F48D0A12E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6" personId="{FF57BDC8-32FA-46A8-81D1-98EC28C29EFA}" id="{589FD416-90E4-4AF8-8F32-CA0E382A5404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6" personId="{FF57BDC8-32FA-46A8-81D1-98EC28C29EFA}" id="{7E4F7AB0-3FE8-48EB-AB41-7147EE3BA21A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6" personId="{FF57BDC8-32FA-46A8-81D1-98EC28C29EFA}" id="{FD2BA2B2-1BCE-4143-8A47-F78E70A123F2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6" personId="{FF57BDC8-32FA-46A8-81D1-98EC28C29EFA}" id="{2AA27445-228D-4F01-9EE5-D35770E5FB81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6" personId="{FF57BDC8-32FA-46A8-81D1-98EC28C29EFA}" id="{CD2B74A8-75F7-4AFE-8054-A699E1F9E423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6" personId="{FF57BDC8-32FA-46A8-81D1-98EC28C29EFA}" id="{1FA632BF-BD32-4ACE-84CF-51C5097AC9E7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6" personId="{FF57BDC8-32FA-46A8-81D1-98EC28C29EFA}" id="{48055859-2B7B-4B3F-9D18-FAC84739A5FF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6" personId="{FF57BDC8-32FA-46A8-81D1-98EC28C29EFA}" id="{01127947-C476-41E5-9FCD-9152CCE5CE52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6" personId="{FF57BDC8-32FA-46A8-81D1-98EC28C29EFA}" id="{5D9B868A-EC3D-416A-AB07-8DD67717C08C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6" personId="{FF57BDC8-32FA-46A8-81D1-98EC28C29EFA}" id="{7868EE68-E010-4911-8F95-21ED5AA9ED80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6" personId="{FF57BDC8-32FA-46A8-81D1-98EC28C29EFA}" id="{FDF933B4-6B5E-432E-BA48-767D8C9535F6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6" personId="{FF57BDC8-32FA-46A8-81D1-98EC28C29EFA}" id="{08CCE748-B629-4A31-B13B-C28148A69731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6" personId="{FF57BDC8-32FA-46A8-81D1-98EC28C29EFA}" id="{C00E89E5-7703-425B-8C4E-55F4F3D97536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6" personId="{FF57BDC8-32FA-46A8-81D1-98EC28C29EFA}" id="{FF07D8C8-DBDE-4597-95CC-16F97703E329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6" personId="{FF57BDC8-32FA-46A8-81D1-98EC28C29EFA}" id="{A36C347F-1B8A-4064-9497-7C44A6A510A7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6" personId="{FF57BDC8-32FA-46A8-81D1-98EC28C29EFA}" id="{8DB18814-CCF6-4860-A5F3-1DDA1CD92066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6" personId="{FF57BDC8-32FA-46A8-81D1-98EC28C29EFA}" id="{5C797E7D-8935-4739-BF00-113398E9D3CF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6" personId="{FF57BDC8-32FA-46A8-81D1-98EC28C29EFA}" id="{FC6E4A61-E077-4E6F-877B-73E27A24D789}">
    <xltc:text>Illustrative Finin2min input (2026-10-25); Months per year. Annualisation. Replace with documented actuals. Not a market quotation, legal rate or government fee.</xltc:text>
  </xltc:threadedComment>
  <xltc:threadedComment ref="C31" dT="2026-10-24T21:06:59.136" personId="{FF57BDC8-32FA-46A8-81D1-98EC28C29EFA}" id="{E12D148F-9100-4BDF-A448-DECC2745B0FD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6" personId="{FF57BDC8-32FA-46A8-81D1-98EC28C29EFA}" id="{579FEEC1-D64F-4CF3-A914-29E2CE8D77A8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6" personId="{FF57BDC8-32FA-46A8-81D1-98EC28C29EFA}" id="{B595E88F-7462-413A-A24E-A41CEC8643E0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6" personId="{FF57BDC8-32FA-46A8-81D1-98EC28C29EFA}" id="{D8028A51-4720-4AF3-9DE9-9E83F580E11B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6" personId="{FF57BDC8-32FA-46A8-81D1-98EC28C29EFA}" id="{B875D422-2369-44D8-9133-C663454DDD8D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6" personId="{FF57BDC8-32FA-46A8-81D1-98EC28C29EFA}" id="{099050AB-1CD5-400E-82C3-0B2FB1B13E54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3.xml><?xml version="1.0" encoding="utf-8"?>
<xltc:ThreadedComments xmlns:xltc="http://schemas.microsoft.com/office/spreadsheetml/2018/threadedcomments">
  <xltc:threadedComment ref="C6" dT="2026-10-24T21:06:59.136" personId="{FF57BDC8-32FA-46A8-81D1-98EC28C29EFA}" id="{425CC87D-B780-4584-8DBF-BE1C29FA306F}">
    <xltc:text>Illustrative Finin2min input (2026-10-25); Monthly retained/billable volume. completed mandates. Replace with documented actuals. Not a market quotation, legal rate or government fee.</xltc:text>
  </xltc:threadedComment>
  <xltc:threadedComment ref="C7" dT="2026-10-24T21:06:59.136" personId="{FF57BDC8-32FA-46A8-81D1-98EC28C29EFA}" id="{6ADAB47A-9371-47D9-8CD9-9E014A331E78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6" personId="{FF57BDC8-32FA-46A8-81D1-98EC28C29EFA}" id="{677B1126-E684-4FD0-BC20-7E6A12F4772A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6" personId="{FF57BDC8-32FA-46A8-81D1-98EC28C29EFA}" id="{FAEEBA8F-CEC7-482D-80B9-7DAE2487C967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6" personId="{FF57BDC8-32FA-46A8-81D1-98EC28C29EFA}" id="{00595D69-E27C-4115-ADAC-818E232EFE38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6" personId="{FF57BDC8-32FA-46A8-81D1-98EC28C29EFA}" id="{C7AE6637-C1D7-45FB-B3A8-8B54B657A8FE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6" personId="{FF57BDC8-32FA-46A8-81D1-98EC28C29EFA}" id="{252B0867-CF5D-407D-805E-8B03442C6F9F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6" personId="{FF57BDC8-32FA-46A8-81D1-98EC28C29EFA}" id="{E9077220-09CC-4B1F-9268-DA38149AE8FE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6" personId="{FF57BDC8-32FA-46A8-81D1-98EC28C29EFA}" id="{0A2DD853-ED2C-408C-AB36-02967714CC8D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6" personId="{FF57BDC8-32FA-46A8-81D1-98EC28C29EFA}" id="{8C5BD9BF-F8E7-4BCF-81E0-AF21D019C580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6" personId="{FF57BDC8-32FA-46A8-81D1-98EC28C29EFA}" id="{84D80369-F685-4700-AFDA-6F58F8A643C3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6" personId="{FF57BDC8-32FA-46A8-81D1-98EC28C29EFA}" id="{4E1EBECB-9AA8-4AF0-A461-B13DF795194A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6" personId="{FF57BDC8-32FA-46A8-81D1-98EC28C29EFA}" id="{8643E990-69FC-46F7-8160-91F978E5D08D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6" personId="{FF57BDC8-32FA-46A8-81D1-98EC28C29EFA}" id="{331EFF00-C876-4EED-AB0B-9D9A8C723247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6" personId="{FF57BDC8-32FA-46A8-81D1-98EC28C29EFA}" id="{F36DC84C-6F66-429C-B600-8F2BCAE68BF0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6" personId="{FF57BDC8-32FA-46A8-81D1-98EC28C29EFA}" id="{BCE2540D-9931-435B-84B8-8ED05532B846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6" personId="{FF57BDC8-32FA-46A8-81D1-98EC28C29EFA}" id="{17FE6E17-C33A-41DC-ADCD-CFCF7AA580CE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6" personId="{FF57BDC8-32FA-46A8-81D1-98EC28C29EFA}" id="{7A96FFAF-BF8F-418B-B4FA-F33AE7124767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6" personId="{FF57BDC8-32FA-46A8-81D1-98EC28C29EFA}" id="{875033BE-ED45-4068-8103-4412BB5B77E9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6" personId="{FF57BDC8-32FA-46A8-81D1-98EC28C29EFA}" id="{E39FFF06-F54D-428D-B956-CFA7D8A8C25C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6" personId="{FF57BDC8-32FA-46A8-81D1-98EC28C29EFA}" id="{FE414F13-D0CF-4FF3-96F0-9B89D39A7F53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6" personId="{FF57BDC8-32FA-46A8-81D1-98EC28C29EFA}" id="{E50D8AC2-08C8-45D3-A523-E40FB9CC1AF2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6" personId="{FF57BDC8-32FA-46A8-81D1-98EC28C29EFA}" id="{59360EC8-43B8-4A0B-BAED-53F1CF3949F6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6" personId="{FF57BDC8-32FA-46A8-81D1-98EC28C29EFA}" id="{00213AA1-486F-4592-AFF8-89D9C4065F8A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6" personId="{FF57BDC8-32FA-46A8-81D1-98EC28C29EFA}" id="{F6705E99-9A0E-4FE4-94D4-B2E7915B01D6}">
    <xltc:text>Illustrative Finin2min input (2026-10-25); Months per year. Annualisation. Replace with documented actuals. Not a market quotation, legal rate or government fee.</xltc:text>
  </xltc:threadedComment>
  <xltc:threadedComment ref="C31" dT="2026-10-24T21:06:59.137" personId="{FF57BDC8-32FA-46A8-81D1-98EC28C29EFA}" id="{9E646C78-7A89-4B4B-BB08-4CB72E6F33E9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7" personId="{FF57BDC8-32FA-46A8-81D1-98EC28C29EFA}" id="{565AE68E-6329-43DF-8638-08BC374D8AA9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7" personId="{FF57BDC8-32FA-46A8-81D1-98EC28C29EFA}" id="{65038DD4-2445-4CBC-8B20-798613766FA7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7" personId="{FF57BDC8-32FA-46A8-81D1-98EC28C29EFA}" id="{6C4149B8-940A-41BF-A13A-596B2E9CE04F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7" personId="{FF57BDC8-32FA-46A8-81D1-98EC28C29EFA}" id="{3E8E45F3-4247-453E-96FE-5876622349EB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7" personId="{FF57BDC8-32FA-46A8-81D1-98EC28C29EFA}" id="{2FC05942-40C1-4819-860B-0209F6E18042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4.xml><?xml version="1.0" encoding="utf-8"?>
<xltc:ThreadedComments xmlns:xltc="http://schemas.microsoft.com/office/spreadsheetml/2018/threadedcomments">
  <xltc:threadedComment ref="C6" dT="2026-10-24T21:06:59.137" personId="{FF57BDC8-32FA-46A8-81D1-98EC28C29EFA}" id="{78FC985D-90C9-48D0-BF38-3DCB31691B29}">
    <xltc:text>Illustrative Finin2min input (2026-10-25); Monthly retained/billable volume. active retainer-months. Replace with documented actuals. Not a market quotation, legal rate or government fee.</xltc:text>
  </xltc:threadedComment>
  <xltc:threadedComment ref="C7" dT="2026-10-24T21:06:59.137" personId="{FF57BDC8-32FA-46A8-81D1-98EC28C29EFA}" id="{6680896A-8C2F-413C-B2DC-72316D7C9816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7" personId="{FF57BDC8-32FA-46A8-81D1-98EC28C29EFA}" id="{F969D5C7-54DF-493B-BF47-604AEFFF667D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7" personId="{FF57BDC8-32FA-46A8-81D1-98EC28C29EFA}" id="{029F3C68-D714-4826-9FF0-4B1B426583A3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7" personId="{FF57BDC8-32FA-46A8-81D1-98EC28C29EFA}" id="{1383C62F-D97D-4B20-8970-0D2F32324AE4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7" personId="{FF57BDC8-32FA-46A8-81D1-98EC28C29EFA}" id="{50027AF9-219F-4870-8137-87FF918E3024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7" personId="{FF57BDC8-32FA-46A8-81D1-98EC28C29EFA}" id="{37AA6E3E-4135-4FE9-A512-3FC2E130BB6E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7" personId="{FF57BDC8-32FA-46A8-81D1-98EC28C29EFA}" id="{FF5A8ABB-2EC9-459E-9179-F403CD4AD287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7" personId="{FF57BDC8-32FA-46A8-81D1-98EC28C29EFA}" id="{C725B3BC-809E-477C-80BD-F95E6F9EB66C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7" personId="{FF57BDC8-32FA-46A8-81D1-98EC28C29EFA}" id="{9F5FFDDC-A01D-47E3-81ED-5A51833996C7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7" personId="{FF57BDC8-32FA-46A8-81D1-98EC28C29EFA}" id="{8955D2A4-404F-482C-8DDA-48105891F4D4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7" personId="{FF57BDC8-32FA-46A8-81D1-98EC28C29EFA}" id="{652EA343-0BC4-4B28-9AEA-56A5EE3719B6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7" personId="{FF57BDC8-32FA-46A8-81D1-98EC28C29EFA}" id="{700D9F8C-0ED9-40FF-B270-F5589625BBF6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7" personId="{FF57BDC8-32FA-46A8-81D1-98EC28C29EFA}" id="{E33A1DEF-14C5-4628-BD5D-324BAA76D104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7" personId="{FF57BDC8-32FA-46A8-81D1-98EC28C29EFA}" id="{DAC1A8A9-2E52-41D3-AA3F-AB325AA3B520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7" personId="{FF57BDC8-32FA-46A8-81D1-98EC28C29EFA}" id="{DAE16245-7BFB-4C2A-82AF-32C6BC24D6C8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7" personId="{FF57BDC8-32FA-46A8-81D1-98EC28C29EFA}" id="{1E1E95E8-955B-4C9D-9E49-5EDD8B0F396F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7" personId="{FF57BDC8-32FA-46A8-81D1-98EC28C29EFA}" id="{5BB7BBDF-6F2F-4828-91D3-48D3BF9AAAE2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7" personId="{FF57BDC8-32FA-46A8-81D1-98EC28C29EFA}" id="{F9802D41-2B39-4E17-9A9D-A038DCF7E749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7" personId="{FF57BDC8-32FA-46A8-81D1-98EC28C29EFA}" id="{65ACDA67-0947-45F9-BEAE-739EF6BEC635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7" personId="{FF57BDC8-32FA-46A8-81D1-98EC28C29EFA}" id="{B4D452EC-D54B-4AB2-87CC-EB2798047EC8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7" personId="{FF57BDC8-32FA-46A8-81D1-98EC28C29EFA}" id="{90B7F042-5DDF-47DF-A866-22823A1F0F14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7" personId="{FF57BDC8-32FA-46A8-81D1-98EC28C29EFA}" id="{E9941100-CFDF-48BD-84DA-CB6E4AD7EAFF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7" personId="{FF57BDC8-32FA-46A8-81D1-98EC28C29EFA}" id="{8DB2FBEC-ECEF-43F5-B8F9-DE660E877EF9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7" personId="{FF57BDC8-32FA-46A8-81D1-98EC28C29EFA}" id="{10E4FBBD-AF7E-46E3-BA72-51445A23B263}">
    <xltc:text>Illustrative Finin2min input (2026-10-25); Months per year. Annualisation. Replace with documented actuals. Not a market quotation, legal rate or government fee.</xltc:text>
  </xltc:threadedComment>
  <xltc:threadedComment ref="C31" dT="2026-10-24T21:06:59.137" personId="{FF57BDC8-32FA-46A8-81D1-98EC28C29EFA}" id="{483FCEB4-91B5-4B0B-B6CD-86ABF45E23B1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7" personId="{FF57BDC8-32FA-46A8-81D1-98EC28C29EFA}" id="{52D1E9BA-1267-484C-A85F-5EEEE50FFED0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7" personId="{FF57BDC8-32FA-46A8-81D1-98EC28C29EFA}" id="{1155EE7F-81AD-4EEA-88D0-90578CCC2352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7" personId="{FF57BDC8-32FA-46A8-81D1-98EC28C29EFA}" id="{9EF13703-E275-4E4D-A37A-7D230201F06C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7" personId="{FF57BDC8-32FA-46A8-81D1-98EC28C29EFA}" id="{57270614-8057-421E-B307-AC77CC39989A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7" personId="{FF57BDC8-32FA-46A8-81D1-98EC28C29EFA}" id="{CFAD524F-EB06-456F-A9DE-EF967912964C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5.xml><?xml version="1.0" encoding="utf-8"?>
<xltc:ThreadedComments xmlns:xltc="http://schemas.microsoft.com/office/spreadsheetml/2018/threadedcomments">
  <xltc:threadedComment ref="C6" dT="2026-10-24T21:06:59.137" personId="{FF57BDC8-32FA-46A8-81D1-98EC28C29EFA}" id="{58866486-CF0D-4BC1-BB2E-14845762B56E}">
    <xltc:text>Illustrative Finin2min input (2026-10-25); Monthly retained/billable volume. accepted installed kW. Replace with documented actuals. Not a market quotation, legal rate or government fee.</xltc:text>
  </xltc:threadedComment>
  <xltc:threadedComment ref="C7" dT="2026-10-24T21:06:59.137" personId="{FF57BDC8-32FA-46A8-81D1-98EC28C29EFA}" id="{1D258602-9F1C-43EF-A678-CE75AE49A0A8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7" personId="{FF57BDC8-32FA-46A8-81D1-98EC28C29EFA}" id="{8A4D05F9-D68A-4CCA-9B1F-4193C8EA5A53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7" personId="{FF57BDC8-32FA-46A8-81D1-98EC28C29EFA}" id="{987F1BF8-3E2D-4DE5-90C2-2CCAE5161E05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7" personId="{FF57BDC8-32FA-46A8-81D1-98EC28C29EFA}" id="{14267A88-9DCD-4669-897A-8A94E6D10E13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7" personId="{FF57BDC8-32FA-46A8-81D1-98EC28C29EFA}" id="{83BC778D-761D-476D-93E9-6F87511CCB6C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7" personId="{FF57BDC8-32FA-46A8-81D1-98EC28C29EFA}" id="{EB9AB819-9A49-466E-94F0-AEE67A0FC4FE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7" personId="{FF57BDC8-32FA-46A8-81D1-98EC28C29EFA}" id="{E7D53104-2B10-49A5-A3FA-48902B840425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7" personId="{FF57BDC8-32FA-46A8-81D1-98EC28C29EFA}" id="{9BA8C503-7CFB-43C9-83E1-BBC4945569BD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7" personId="{FF57BDC8-32FA-46A8-81D1-98EC28C29EFA}" id="{7598EDF9-C0AD-4B34-A302-32057225EB64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7" personId="{FF57BDC8-32FA-46A8-81D1-98EC28C29EFA}" id="{BF8CA89F-7792-46B2-9380-BC883083A2B2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7" personId="{FF57BDC8-32FA-46A8-81D1-98EC28C29EFA}" id="{67C3A12D-9D7A-4C69-BE77-1AF891978F7D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7" personId="{FF57BDC8-32FA-46A8-81D1-98EC28C29EFA}" id="{A1FFB164-1CFA-44A9-AF51-960DCC287E36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7" personId="{FF57BDC8-32FA-46A8-81D1-98EC28C29EFA}" id="{AC6EFA14-960C-43E0-AF61-3BB6A09DE04B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7" personId="{FF57BDC8-32FA-46A8-81D1-98EC28C29EFA}" id="{1E8E1A98-2540-4BB0-88E2-1B2CB519DD60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7" personId="{FF57BDC8-32FA-46A8-81D1-98EC28C29EFA}" id="{751A7AF5-BF4A-4F2C-A105-70AB4380A19F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7" personId="{FF57BDC8-32FA-46A8-81D1-98EC28C29EFA}" id="{AC0642C0-23FE-4F45-BA75-839CEEC85C26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7" personId="{FF57BDC8-32FA-46A8-81D1-98EC28C29EFA}" id="{9B7EBB54-09CB-438A-9887-0DB7FB0A2039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7" personId="{FF57BDC8-32FA-46A8-81D1-98EC28C29EFA}" id="{9FDB93C2-67D9-4004-8437-762DB1F19FB6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7" personId="{FF57BDC8-32FA-46A8-81D1-98EC28C29EFA}" id="{2061987F-43B2-48A9-A625-697A0D36B01C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7" personId="{FF57BDC8-32FA-46A8-81D1-98EC28C29EFA}" id="{A7C9BFC5-215E-4E23-8DC0-012682E5F651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7" personId="{FF57BDC8-32FA-46A8-81D1-98EC28C29EFA}" id="{0A06938F-38D1-46ED-B100-68DCC4DCB9E4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7" personId="{FF57BDC8-32FA-46A8-81D1-98EC28C29EFA}" id="{176BD5ED-5687-4328-BB32-6A0696EFDCCA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7" personId="{FF57BDC8-32FA-46A8-81D1-98EC28C29EFA}" id="{EDB9C5CA-D432-4E3C-A84B-580FE0055840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7" personId="{FF57BDC8-32FA-46A8-81D1-98EC28C29EFA}" id="{CE84E40A-CBB8-4DD2-88CB-DA6B6403DBE0}">
    <xltc:text>Illustrative Finin2min input (2026-10-25); Months per year. Annualisation. Replace with documented actuals. Not a market quotation, legal rate or government fee.</xltc:text>
  </xltc:threadedComment>
  <xltc:threadedComment ref="C31" dT="2026-10-24T21:06:59.137" personId="{FF57BDC8-32FA-46A8-81D1-98EC28C29EFA}" id="{3D771C69-E603-4E01-A384-4CCBF38E1CDE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7" personId="{FF57BDC8-32FA-46A8-81D1-98EC28C29EFA}" id="{12642B7F-24D0-4C79-8CAE-FB6FDB71D070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7" personId="{FF57BDC8-32FA-46A8-81D1-98EC28C29EFA}" id="{0BE111D6-EC6A-4293-9D52-8F48C886C925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7" personId="{FF57BDC8-32FA-46A8-81D1-98EC28C29EFA}" id="{331F26F9-720E-44E4-9A42-663B1557A3E1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7" personId="{FF57BDC8-32FA-46A8-81D1-98EC28C29EFA}" id="{F95D55FC-8380-4591-AA54-A92DCE99453C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7" personId="{FF57BDC8-32FA-46A8-81D1-98EC28C29EFA}" id="{1D9FE0E0-412A-4969-963B-CDFA1C84F335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6.xml><?xml version="1.0" encoding="utf-8"?>
<xltc:ThreadedComments xmlns:xltc="http://schemas.microsoft.com/office/spreadsheetml/2018/threadedcomments">
  <xltc:threadedComment ref="C6" dT="2026-10-24T21:06:59.137" personId="{FF57BDC8-32FA-46A8-81D1-98EC28C29EFA}" id="{3FF28AB1-C750-4A76-9236-E8B7216796FF}">
    <xltc:text>Illustrative Finin2min input (2026-10-25); Monthly retained/billable volume. occupied pallet-months. Replace with documented actuals. Not a market quotation, legal rate or government fee.</xltc:text>
  </xltc:threadedComment>
  <xltc:threadedComment ref="C7" dT="2026-10-24T21:06:59.137" personId="{FF57BDC8-32FA-46A8-81D1-98EC28C29EFA}" id="{AAEDDF10-BCDE-4FD7-8317-352127ECF997}">
    <xltc:text>Illustrative Finin2min input (2026-10-25); Net realised unit price. INR; exclude GST and refunds. Replace with documented actuals. Not a market quotation, legal rate or government fee.</xltc:text>
  </xltc:threadedComment>
  <xltc:threadedComment ref="C8" dT="2026-10-24T21:06:59.137" personId="{FF57BDC8-32FA-46A8-81D1-98EC28C29EFA}" id="{AB79FE64-454C-4C55-B743-BF0FD4005979}">
    <xltc:text>Illustrative Finin2min input (2026-10-25); Variable cost per unit. Include direct channel cost / non-creditable tax. Replace with documented actuals. Not a market quotation, legal rate or government fee.</xltc:text>
  </xltc:threadedComment>
  <xltc:threadedComment ref="C9" dT="2026-10-24T21:06:59.137" personId="{FF57BDC8-32FA-46A8-81D1-98EC28C29EFA}" id="{B717502A-294A-425F-BB35-DC2724BFD508}">
    <xltc:text>Illustrative Finin2min input (2026-10-25); Monthly fixed cash cost. Exclude depreciation, debt service and income tax. Replace with documented actuals. Not a market quotation, legal rate or government fee.</xltc:text>
  </xltc:threadedComment>
  <xltc:threadedComment ref="C10" dT="2026-10-24T21:06:59.137" personId="{FF57BDC8-32FA-46A8-81D1-98EC28C29EFA}" id="{49ADB1EB-5040-4E57-809D-8B41774BD995}">
    <xltc:text>Illustrative Finin2min input (2026-10-25); Saleable monthly capacity. Use safe capacity, not only theoretical output. Replace with documented actuals. Not a market quotation, legal rate or government fee.</xltc:text>
  </xltc:threadedComment>
  <xltc:threadedComment ref="C11" dT="2026-10-24T21:06:59.137" personId="{FF57BDC8-32FA-46A8-81D1-98EC28C29EFA}" id="{2D589DCF-5A4B-428E-991C-21EA4296DC2F}">
    <xltc:text>Illustrative Finin2min input (2026-10-25); Monthly volume growth. Scenario, capped by capacity. Replace with documented actuals. Not a market quotation, legal rate or government fee.</xltc:text>
  </xltc:threadedComment>
  <xltc:threadedComment ref="C12" dT="2026-10-24T21:06:59.137" personId="{FF57BDC8-32FA-46A8-81D1-98EC28C29EFA}" id="{2D72450C-CFA1-4FD9-B605-8811A346E284}">
    <xltc:text>Illustrative Finin2min input (2026-10-25); Monthly fixed-cost growth. Scenario inflation; not a forecast. Replace with documented actuals. Not a market quotation, legal rate or government fee.</xltc:text>
  </xltc:threadedComment>
  <xltc:threadedComment ref="C13" dT="2026-10-24T21:06:59.137" personId="{FF57BDC8-32FA-46A8-81D1-98EC28C29EFA}" id="{484CFAAA-76EC-4F3E-9D40-0A5F39C16C41}">
    <xltc:text>Illustrative Finin2min input (2026-10-25); Startup capital expenditure. Equipment / setup cash. Replace with documented actuals. Not a market quotation, legal rate or government fee.</xltc:text>
  </xltc:threadedComment>
  <xltc:threadedComment ref="C14" dT="2026-10-24T21:06:59.137" personId="{FF57BDC8-32FA-46A8-81D1-98EC28C29EFA}" id="{E62FE758-E578-457E-924C-63127CCC08DA}">
    <xltc:text>Illustrative Finin2min input (2026-10-25); Refundable lease deposit. Recoverable asset; not operating expense. Replace with documented actuals. Not a market quotation, legal rate or government fee.</xltc:text>
  </xltc:threadedComment>
  <xltc:threadedComment ref="C15" dT="2026-10-24T21:06:59.137" personId="{FF57BDC8-32FA-46A8-81D1-98EC28C29EFA}" id="{E8601245-CFD4-4E35-8F94-A5CCCF7ED3BF}">
    <xltc:text>Illustrative Finin2min input (2026-10-25); Opening cash after startup spend. Funded buffer after initial capital spend. Replace with documented actuals. Not a market quotation, legal rate or government fee.</xltc:text>
  </xltc:threadedComment>
  <xltc:threadedComment ref="C16" dT="2026-10-24T21:06:59.137" personId="{FF57BDC8-32FA-46A8-81D1-98EC28C29EFA}" id="{A8D6F789-83FF-41F4-AC73-8D145BA070D7}">
    <xltc:text>Illustrative Finin2min input (2026-10-25); Receivable days. Recognised revenue awaiting payment. Replace with documented actuals. Not a market quotation, legal rate or government fee.</xltc:text>
  </xltc:threadedComment>
  <xltc:threadedComment ref="C17" dT="2026-10-24T21:06:59.137" personId="{FF57BDC8-32FA-46A8-81D1-98EC28C29EFA}" id="{6C8D9AFD-E834-4FA0-82BA-2DC335A306F3}">
    <xltc:text>Illustrative Finin2min input (2026-10-25); Own inventory days. Own goods only; exclude clients’ stock. Replace with documented actuals. Not a market quotation, legal rate or government fee.</xltc:text>
  </xltc:threadedComment>
  <xltc:threadedComment ref="C18" dT="2026-10-24T21:06:59.137" personId="{FF57BDC8-32FA-46A8-81D1-98EC28C29EFA}" id="{B0002DC0-4117-4BC0-BEF2-7D75CFD9633A}">
    <xltc:text>Illustrative Finin2min input (2026-10-25); Supplier-credit days. Only on supplier-credit-eligible costs. Replace with documented actuals. Not a market quotation, legal rate or government fee.</xltc:text>
  </xltc:threadedComment>
  <xltc:threadedComment ref="C19" dT="2026-10-24T21:06:59.137" personId="{FF57BDC8-32FA-46A8-81D1-98EC28C29EFA}" id="{7ABFC918-261A-484E-9B91-E702ABF07CB3}">
    <xltc:text>Illustrative Finin2min input (2026-10-25); Startup loan proceeds. Not income. Replace with documented actuals. Not a market quotation, legal rate or government fee.</xltc:text>
  </xltc:threadedComment>
  <xltc:threadedComment ref="C20" dT="2026-10-24T21:06:59.137" personId="{FF57BDC8-32FA-46A8-81D1-98EC28C29EFA}" id="{38A0B523-9F07-4CC2-A40A-EA7A76082D24}">
    <xltc:text>Illustrative Finin2min input (2026-10-25); Annual loan interest. Assumption, not lender offer. Replace with documented actuals. Not a market quotation, legal rate or government fee.</xltc:text>
  </xltc:threadedComment>
  <xltc:threadedComment ref="C21" dT="2026-10-24T21:06:59.137" personId="{FF57BDC8-32FA-46A8-81D1-98EC28C29EFA}" id="{70D8372D-3FCD-4752-A34B-243A3A054D7E}">
    <xltc:text>Illustrative Finin2min input (2026-10-25); Equal-principal tenor (months). Equal principal, not a constant EMI. Replace with documented actuals. Not a market quotation, legal rate or government fee.</xltc:text>
  </xltc:threadedComment>
  <xltc:threadedComment ref="C22" dT="2026-10-24T21:06:59.137" personId="{FF57BDC8-32FA-46A8-81D1-98EC28C29EFA}" id="{D44920BD-2130-42EE-BCEF-B272BD410AD9}">
    <xltc:text>Illustrative Finin2min input (2026-10-25); Monthly maintenance capex. Cash replacement / maintenance equipment. Replace with documented actuals. Not a market quotation, legal rate or government fee.</xltc:text>
  </xltc:threadedComment>
  <xltc:threadedComment ref="C23" dT="2026-10-24T21:06:59.137" personId="{FF57BDC8-32FA-46A8-81D1-98EC28C29EFA}" id="{9E52022B-22CA-4A19-AEDF-DDB54CCB2704}">
    <xltc:text>Illustrative Finin2min input (2026-10-25); Monthly income-tax cash. REQUIRED: independently compute taxes. Replace with documented actuals. Not a market quotation, legal rate or government fee.</xltc:text>
  </xltc:threadedComment>
  <xltc:threadedComment ref="C24" dT="2026-10-24T21:06:59.137" personId="{FF57BDC8-32FA-46A8-81D1-98EC28C29EFA}" id="{BCA98892-02EB-4DE6-A9F2-0EF9CA0585B9}">
    <xltc:text>Illustrative Finin2min input (2026-10-25); Monthly net GST cash outflow. REQUIRED: no GST liability calculated. Replace with documented actuals. Not a market quotation, legal rate or government fee.</xltc:text>
  </xltc:threadedComment>
  <xltc:threadedComment ref="C25" dT="2026-10-24T21:06:59.137" personId="{FF57BDC8-32FA-46A8-81D1-98EC28C29EFA}" id="{B11044D7-CDE7-4B5D-8DC9-A9F38A568133}">
    <xltc:text>Illustrative Finin2min input (2026-10-25); Monthly owner drawings. Distribution, not operating expense. Replace with documented actuals. Not a market quotation, legal rate or government fee.</xltc:text>
  </xltc:threadedComment>
  <xltc:threadedComment ref="C26" dT="2026-10-24T21:06:59.137" personId="{FF57BDC8-32FA-46A8-81D1-98EC28C29EFA}" id="{0E499A85-BBEE-4FBA-80B9-272DC006215E}">
    <xltc:text>Illustrative Finin2min input (2026-10-25); Downside volume change. Stress case, not forecast. Replace with documented actuals. Not a market quotation, legal rate or government fee.</xltc:text>
  </xltc:threadedComment>
  <xltc:threadedComment ref="C27" dT="2026-10-24T21:06:59.137" personId="{FF57BDC8-32FA-46A8-81D1-98EC28C29EFA}" id="{68955969-D7D0-41B6-B04D-2D5B4FBE42B6}">
    <xltc:text>Illustrative Finin2min input (2026-10-25); Downside unit-cost change. Stress case, not forecast. Replace with documented actuals. Not a market quotation, legal rate or government fee.</xltc:text>
  </xltc:threadedComment>
  <xltc:threadedComment ref="C28" dT="2026-10-24T21:06:59.137" personId="{FF57BDC8-32FA-46A8-81D1-98EC28C29EFA}" id="{02783F96-A1A6-41A6-8160-CFFBBFB9C2C7}">
    <xltc:text>Illustrative Finin2min input (2026-10-25); Extra collection days. Receivable shock, not expense. Replace with documented actuals. Not a market quotation, legal rate or government fee.</xltc:text>
  </xltc:threadedComment>
  <xltc:threadedComment ref="C29" dT="2026-10-24T21:06:59.137" personId="{FF57BDC8-32FA-46A8-81D1-98EC28C29EFA}" id="{45F9D292-5583-4941-87E5-4DE08D2D6060}">
    <xltc:text>Illustrative Finin2min input (2026-10-25); Planning days per month. Working-capital convention. Replace with documented actuals. Not a market quotation, legal rate or government fee.</xltc:text>
  </xltc:threadedComment>
  <xltc:threadedComment ref="C30" dT="2026-10-24T21:06:59.137" personId="{FF57BDC8-32FA-46A8-81D1-98EC28C29EFA}" id="{DED47CB5-8906-42B7-885A-8AE6DFEB7348}">
    <xltc:text>Illustrative Finin2min input (2026-10-25); Months per year. Annualisation. Replace with documented actuals. Not a market quotation, legal rate or government fee.</xltc:text>
  </xltc:threadedComment>
  <xltc:threadedComment ref="C31" dT="2026-10-24T21:06:59.137" personId="{FF57BDC8-32FA-46A8-81D1-98EC28C29EFA}" id="{BBA50632-34F6-425C-8792-D9E289D9C9B6}">
    <xltc:text>Illustrative Finin2min input (2026-10-25); Inventory share of direct cost. Fraction 0–1. Replace with documented actuals. Not a market quotation, legal rate or government fee.</xltc:text>
  </xltc:threadedComment>
  <xltc:threadedComment ref="C32" dT="2026-10-24T21:06:59.137" personId="{FF57BDC8-32FA-46A8-81D1-98EC28C29EFA}" id="{6147006D-024B-4FE5-9E44-55843955DD09}">
    <xltc:text>Illustrative Finin2min input (2026-10-25); Supplier-credit share of cost. Fraction 0–1. Replace with documented actuals. Not a market quotation, legal rate or government fee.</xltc:text>
  </xltc:threadedComment>
  <xltc:threadedComment ref="C33" dT="2026-10-24T21:06:59.137" personId="{FF57BDC8-32FA-46A8-81D1-98EC28C29EFA}" id="{64F6B715-C2C4-4B57-BD80-1B94BAE184DF}">
    <xltc:text>Illustrative Finin2min input (2026-10-25); Planning asset life (years). Economic straight-line life, not tax depreciation. Replace with documented actuals. Not a market quotation, legal rate or government fee.</xltc:text>
  </xltc:threadedComment>
  <xltc:threadedComment ref="C34" dT="2026-10-24T21:06:59.137" personId="{FF57BDC8-32FA-46A8-81D1-98EC28C29EFA}" id="{BB6CD4EB-0267-4BFA-AA24-3DF70B8594A8}">
    <xltc:text>Illustrative Finin2min input (2026-10-25); Monthly realised-price growth. Scenario only. Replace with documented actuals. Not a market quotation, legal rate or government fee.</xltc:text>
  </xltc:threadedComment>
  <xltc:threadedComment ref="C35" dT="2026-10-24T21:06:59.137" personId="{FF57BDC8-32FA-46A8-81D1-98EC28C29EFA}" id="{83A58E40-B531-4FB8-A915-111F6B3AE80E}">
    <xltc:text>Illustrative Finin2min input (2026-10-25); One-off launch cost. Startup cash, outside recurring fixed cost. Replace with documented actuals. Not a market quotation, legal rate or government fee.</xltc:text>
  </xltc:threadedComment>
  <xltc:threadedComment ref="C36" dT="2026-10-24T21:06:59.137" personId="{FF57BDC8-32FA-46A8-81D1-98EC28C29EFA}" id="{01A87C8C-65F3-4D04-8DCB-8EF12C70C8C9}">
    <xltc:text>Illustrative Finin2min input (2026-10-25); Supplier advance at startup. Not an immediate expense. Replace with documented actuals. Not a market quotation, legal rate or government fee.</xltc:text>
  </xltc:threadedComment>
</xltc:ThreadedComments>
</file>

<file path=xl/threadedcomments/threadedcomment17.xml><?xml version="1.0" encoding="utf-8"?>
<xltc:ThreadedComments xmlns:xltc="http://schemas.microsoft.com/office/spreadsheetml/2018/threadedcomments">
  <xltc:threadedComment ref="C6" dT="2026-10-24T21:06:59.137" personId="{FF57BDC8-32FA-46A8-81D1-98EC28C29EFA}" id="{F8219F0C-53B4-48B1-9676-21D86D159604}">
    <xltc:text>Illustrative Finin2min input (2026-10-25); Purchase price. Negotiated amount. Replace with documented actuals. Not a market quotation, legal rate or government fee.</xltc:text>
  </xltc:threadedComment>
  <xltc:threadedComment ref="C7" dT="2026-10-24T21:06:59.137" personId="{FF57BDC8-32FA-46A8-81D1-98EC28C29EFA}" id="{EA8C5727-6575-437A-AF15-E7BAA518E8F7}">
    <xltc:text>Illustrative Finin2min input (2026-10-25); Acquisition charges. Stamp duty, fees, legal cost; not a prescribed rate. Replace with documented actuals. Not a market quotation, legal rate or government fee.</xltc:text>
  </xltc:threadedComment>
  <xltc:threadedComment ref="C8" dT="2026-10-24T21:06:59.137" personId="{FF57BDC8-32FA-46A8-81D1-98EC28C29EFA}" id="{70D617EF-38B9-4F3F-8469-777361872E93}">
    <xltc:text>Illustrative Finin2min input (2026-10-25); Fit-out capital expenditure. Initial works. Replace with documented actuals. Not a market quotation, legal rate or government fee.</xltc:text>
  </xltc:threadedComment>
  <xltc:threadedComment ref="C9" dT="2026-10-24T21:06:59.137" personId="{FF57BDC8-32FA-46A8-81D1-98EC28C29EFA}" id="{B3EF1576-B1DE-47B2-8287-12AD54EC052B}">
    <xltc:text>Illustrative Finin2min input (2026-10-25); Acquisition loan. Financing, not income. Replace with documented actuals. Not a market quotation, legal rate or government fee.</xltc:text>
  </xltc:threadedComment>
  <xltc:threadedComment ref="C10" dT="2026-10-24T21:06:59.137" personId="{FF57BDC8-32FA-46A8-81D1-98EC28C29EFA}" id="{A818817A-F59F-44D9-B517-535D204AE45B}">
    <xltc:text>Illustrative Finin2min input (2026-10-25); Annual interest. Illustrative only. Replace with documented actuals. Not a market quotation, legal rate or government fee.</xltc:text>
  </xltc:threadedComment>
  <xltc:threadedComment ref="C11" dT="2026-10-24T21:06:59.137" personId="{FF57BDC8-32FA-46A8-81D1-98EC28C29EFA}" id="{BA0ECD55-5D4E-44AF-B84A-142CFAA1E104}">
    <xltc:text>Illustrative Finin2min input (2026-10-25); Loan tenor months. Monthly amortisation. Replace with documented actuals. Not a market quotation, legal rate or government fee.</xltc:text>
  </xltc:threadedComment>
  <xltc:threadedComment ref="C12" dT="2026-10-24T21:06:59.137" personId="{FF57BDC8-32FA-46A8-81D1-98EC28C29EFA}" id="{9406A1A0-13D3-457E-BBDA-704B82EB7790}">
    <xltc:text>Illustrative Finin2min input (2026-10-25); Monthly scheduled rent. Excluding GST and tenant deposit. Replace with documented actuals. Not a market quotation, legal rate or government fee.</xltc:text>
  </xltc:threadedComment>
  <xltc:threadedComment ref="C13" dT="2026-10-24T21:06:59.137" personId="{FF57BDC8-32FA-46A8-81D1-98EC28C29EFA}" id="{357E5E4C-56DA-489B-B103-9EA88AE8EBEB}">
    <xltc:text>Illustrative Finin2min input (2026-10-25); Economic occupancy. Retained rent / scheduled rent. Replace with documented actuals. Not a market quotation, legal rate or government fee.</xltc:text>
  </xltc:threadedComment>
  <xltc:threadedComment ref="C14" dT="2026-10-24T21:06:59.137" personId="{FF57BDC8-32FA-46A8-81D1-98EC28C29EFA}" id="{4D8AD8A8-B9E1-4A3E-8FDF-599B1202EAC8}">
    <xltc:text>Illustrative Finin2min input (2026-10-25); Monthly operating cost. Property direct cash cost. Replace with documented actuals. Not a market quotation, legal rate or government fee.</xltc:text>
  </xltc:threadedComment>
  <xltc:threadedComment ref="C15" dT="2026-10-24T21:06:59.137" personId="{FF57BDC8-32FA-46A8-81D1-98EC28C29EFA}" id="{40AE3E8C-EE33-4C83-AEA8-083EDE5A0474}">
    <xltc:text>Illustrative Finin2min input (2026-10-25); Annual tax and insurance. Replace with actual bills. Replace with documented actuals. Not a market quotation, legal rate or government fee.</xltc:text>
  </xltc:threadedComment>
  <xltc:threadedComment ref="C16" dT="2026-10-24T21:06:59.137" personId="{FF57BDC8-32FA-46A8-81D1-98EC28C29EFA}" id="{875A026A-F00C-43AE-B333-9C482F34ABE8}">
    <xltc:text>Illustrative Finin2min input (2026-10-25); Annual repairs reserve. Cash planning. Replace with documented actuals. Not a market quotation, legal rate or government fee.</xltc:text>
  </xltc:threadedComment>
  <xltc:threadedComment ref="C17" dT="2026-10-24T21:06:59.137" personId="{FF57BDC8-32FA-46A8-81D1-98EC28C29EFA}" id="{2086B052-C9E1-4F7C-8B3A-B421B227F44F}">
    <xltc:text>Illustrative Finin2min input (2026-10-25); Annual income-tax cash. REQUIRED USER INPUT; zero is not exemption. Replace with documented actuals. Not a market quotation, legal rate or government fee.</xltc:text>
  </xltc:threadedComment>
  <xltc:threadedComment ref="C18" dT="2026-10-24T21:06:59.137" personId="{FF57BDC8-32FA-46A8-81D1-98EC28C29EFA}" id="{A5E764A5-520B-448D-93A1-4DC0A2A7B7C7}">
    <xltc:text>Illustrative Finin2min input (2026-10-25); Annual rent growth. Scenario, not forecast. Replace with documented actuals. Not a market quotation, legal rate or government fee.</xltc:text>
  </xltc:threadedComment>
  <xltc:threadedComment ref="C19" dT="2026-10-24T21:06:59.137" personId="{FF57BDC8-32FA-46A8-81D1-98EC28C29EFA}" id="{5E4D8BD3-E3D1-4B64-82D5-1B80D4715237}">
    <xltc:text>Illustrative Finin2min input (2026-10-25); Annual cost growth. Scenario, not forecast. Replace with documented actuals. Not a market quotation, legal rate or government fee.</xltc:text>
  </xltc:threadedComment>
  <xltc:threadedComment ref="C20" dT="2026-10-24T21:06:59.137" personId="{FF57BDC8-32FA-46A8-81D1-98EC28C29EFA}" id="{C373C256-1FE2-4BFE-AF4D-4522EC22DCDA}">
    <xltc:text>Illustrative Finin2min input (2026-10-25); Annual property price growth. No appreciation by default. Replace with documented actuals. Not a market quotation, legal rate or government fee.</xltc:text>
  </xltc:threadedComment>
  <xltc:threadedComment ref="C21" dT="2026-10-24T21:06:59.137" personId="{FF57BDC8-32FA-46A8-81D1-98EC28C29EFA}" id="{8A9804CA-9DB5-40E7-AD3B-13691444D4B8}">
    <xltc:text>Illustrative Finin2min input (2026-10-25); Sale cost rate. Assumed transaction costs, excluding sale tax. Replace with documented actuals. Not a market quotation, legal rate or government fee.</xltc:text>
  </xltc:threadedComment>
  <xltc:threadedComment ref="C22" dT="2026-10-24T21:06:59.137" personId="{FF57BDC8-32FA-46A8-81D1-98EC28C29EFA}" id="{C324A8E6-0485-45F2-85E1-F3DDEAFCCCF5}">
    <xltc:text>Illustrative Finin2min input (2026-10-25); Sale tax cash. REQUIRED USER INPUT. Replace with documented actuals. Not a market quotation, legal rate or government fee.</xltc:text>
  </xltc:threadedComment>
  <xltc:threadedComment ref="C23" dT="2026-10-24T21:06:59.137" personId="{FF57BDC8-32FA-46A8-81D1-98EC28C29EFA}" id="{20D14F35-D2BD-4120-BB19-8617324D4CF1}">
    <xltc:text>Illustrative Finin2min input (2026-10-25); Discount rate. Planning hurdle, not investment advice. Replace with documented actuals. Not a market quotation, legal rate or government fee.</xltc:text>
  </xltc:threadedComment>
  <xltc:threadedComment ref="C24" dT="2026-10-24T21:06:59.137" personId="{FF57BDC8-32FA-46A8-81D1-98EC28C29EFA}" id="{A854DB2F-963D-4CFA-B7E8-1AFB05E1A42D}">
    <xltc:text>Illustrative Finin2min input (2026-10-25); Years held. This fixed table models 5 years; must remain 5. Replace with documented actuals. Not a market quotation, legal rate or government fee.</xltc:text>
  </xltc:threadedComment>
  <xltc:threadedComment ref="C25" dT="2026-10-24T21:06:59.137" personId="{FF57BDC8-32FA-46A8-81D1-98EC28C29EFA}" id="{A37AE485-765D-459C-893F-BDA7E96611C0}">
    <xltc:text>Illustrative Finin2min input (2026-10-25); Months per year. Annualisation. Replace with documented actuals. Not a market quotation, legal rate or government fee.</xltc:text>
  </xltc:threadedComment>
</xltc:ThreadedComments>
</file>

<file path=xl/threadedcomments/threadedcomment18.xml><?xml version="1.0" encoding="utf-8"?>
<xltc:ThreadedComments xmlns:xltc="http://schemas.microsoft.com/office/spreadsheetml/2018/threadedcomments">
  <xltc:threadedComment ref="C6" dT="2026-10-24T21:06:59.138" personId="{FF57BDC8-32FA-46A8-81D1-98EC28C29EFA}" id="{25C07282-0C2F-4A1B-8B0B-CC691478226F}">
    <xltc:text>Illustrative Finin2min input (2026-10-25); Admitted amount. Separate from contested amount. Replace with documented actuals. Not a market quotation, legal rate or government fee.</xltc:text>
  </xltc:threadedComment>
  <xltc:threadedComment ref="C7" dT="2026-10-24T21:06:59.138" personId="{FF57BDC8-32FA-46A8-81D1-98EC28C29EFA}" id="{048079E2-F580-448F-8F87-E04B2AC379F0}">
    <xltc:text>Illustrative Finin2min input (2026-10-25); Disputed principal. Not business revenue. Replace with documented actuals. Not a market quotation, legal rate or government fee.</xltc:text>
  </xltc:threadedComment>
  <xltc:threadedComment ref="C8" dT="2026-10-24T21:06:59.138" personId="{FF57BDC8-32FA-46A8-81D1-98EC28C29EFA}" id="{3BBA2992-5AFD-4DD1-B8F6-313F146ED9EB}">
    <xltc:text>Illustrative Finin2min input (2026-10-25); Interest exposure. No statutory interest computation. Replace with documented actuals. Not a market quotation, legal rate or government fee.</xltc:text>
  </xltc:threadedComment>
  <xltc:threadedComment ref="C9" dT="2026-10-24T21:06:59.138" personId="{FF57BDC8-32FA-46A8-81D1-98EC28C29EFA}" id="{83E9328D-DAB8-45F7-853C-86385F0D0BB2}">
    <xltc:text>Illustrative Finin2min input (2026-10-25); Penalty exposure. Illustrative exposure. Replace with documented actuals. Not a market quotation, legal rate or government fee.</xltc:text>
  </xltc:threadedComment>
  <xltc:threadedComment ref="C10" dT="2026-10-24T21:06:59.138" personId="{FF57BDC8-32FA-46A8-81D1-98EC28C29EFA}" id="{11FCF27A-B3AB-4333-9F80-A342E9BA0579}">
    <xltc:text>Illustrative Finin2min input (2026-10-25); Professional fees budget. Budget, not a fee quote. Replace with documented actuals. Not a market quotation, legal rate or government fee.</xltc:text>
  </xltc:threadedComment>
  <xltc:threadedComment ref="C11" dT="2026-10-24T21:06:59.138" personId="{FF57BDC8-32FA-46A8-81D1-98EC28C29EFA}" id="{2A1F8EBC-E51E-4264-AC5C-C1F4560269E6}">
    <xltc:text>Illustrative Finin2min input (2026-10-25); Internal / other case cash. Budget. Replace with documented actuals. Not a market quotation, legal rate or government fee.</xltc:text>
  </xltc:threadedComment>
  <xltc:threadedComment ref="C12" dT="2026-10-24T21:06:59.138" personId="{FF57BDC8-32FA-46A8-81D1-98EC28C29EFA}" id="{CC3FF13A-8266-4644-AA1C-A98AFBE07E09}">
    <xltc:text>Illustrative Finin2min input (2026-10-25); Hypothetical deposit fraction. NOT A LEGAL RATE; replace actual rule/base/cap. Replace with documented actuals. Not a market quotation, legal rate or government fee.</xltc:text>
  </xltc:threadedComment>
  <xltc:threadedComment ref="C13" dT="2026-10-24T21:06:59.138" personId="{FF57BDC8-32FA-46A8-81D1-98EC28C29EFA}" id="{1A6279BB-916F-4F61-B775-82FFB69181B8}">
    <xltc:text>Illustrative Finin2min input (2026-10-25); Deposit already paid. Credit against required deposit. Replace with documented actuals. Not a market quotation, legal rate or government fee.</xltc:text>
  </xltc:threadedComment>
  <xltc:threadedComment ref="C14" dT="2026-10-24T21:06:59.138" personId="{FF57BDC8-32FA-46A8-81D1-98EC28C29EFA}" id="{FFFC5C15-B0C0-4BC2-B112-852E535E8D89}">
    <xltc:text>Illustrative Finin2min input (2026-10-25); Admitted amount already paid. Credit against admitted amount. Replace with documented actuals. Not a market quotation, legal rate or government fee.</xltc:text>
  </xltc:threadedComment>
  <xltc:threadedComment ref="C15" dT="2026-10-24T21:06:59.138" personId="{FF57BDC8-32FA-46A8-81D1-98EC28C29EFA}" id="{9970739D-2929-4338-846A-E05ACD22ACA6}">
    <xltc:text>Illustrative Finin2min input (2026-10-25); Success probability. Planning assumption, not legal forecast. Replace with documented actuals. Not a market quotation, legal rate or government fee.</xltc:text>
  </xltc:threadedComment>
  <xltc:threadedComment ref="C16" dT="2026-10-24T21:06:59.138" personId="{FF57BDC8-32FA-46A8-81D1-98EC28C29EFA}" id="{9BA6A235-64CE-4AF7-BC99-FC971ECE730C}">
    <xltc:text>Illustrative Finin2min input (2026-10-25); Partial-loss probability. Planning assumption. Replace with documented actuals. Not a market quotation, legal rate or government fee.</xltc:text>
  </xltc:threadedComment>
  <xltc:threadedComment ref="C17" dT="2026-10-24T21:06:59.138" personId="{FF57BDC8-32FA-46A8-81D1-98EC28C29EFA}" id="{E1F524DE-FFF0-406A-A0DE-837FC8A6793E}">
    <xltc:text>Illustrative Finin2min input (2026-10-25); Full-loss probability. Planning assumption. Replace with documented actuals. Not a market quotation, legal rate or government fee.</xltc:text>
  </xltc:threadedComment>
  <xltc:threadedComment ref="C18" dT="2026-10-24T21:06:59.138" personId="{FF57BDC8-32FA-46A8-81D1-98EC28C29EFA}" id="{04494FB3-CF77-414C-8A67-E1FF4E22A686}">
    <xltc:text>Illustrative Finin2min input (2026-10-25); Partial-loss fraction. Portion of contested exposure lost. Replace with documented actuals. Not a market quotation, legal rate or government fee.</xltc:text>
  </xltc:threadedComment>
  <xltc:threadedComment ref="C19" dT="2026-10-24T21:06:59.138" personId="{FF57BDC8-32FA-46A8-81D1-98EC28C29EFA}" id="{CF394E02-60B4-452E-8E65-8C6F80E54792}">
    <xltc:text>Illustrative Finin2min input (2026-10-25); Available case cash. Unrestricted dedicated cash. Replace with documented actuals. Not a market quotation, legal rate or government fee.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4b57f2a4e38d484e" /><Relationship Type="http://schemas.openxmlformats.org/officeDocument/2006/relationships/vmlDrawing" Target="/xl/drawings/vmldrawing.vml" Id="Rd802207b9c7c4639" /><Relationship Type="http://schemas.microsoft.com/office/2017/10/relationships/threadedComment" Target="/xl/threadedcomments/threadedcomment.xml" Id="R62d44c25f1e54dd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588ba5fe08454549" /><Relationship Type="http://schemas.openxmlformats.org/officeDocument/2006/relationships/vmlDrawing" Target="/xl/drawings/vmldrawing2.vml" Id="R42d2aadf615d400e" /><Relationship Type="http://schemas.microsoft.com/office/2017/10/relationships/threadedComment" Target="/xl/threadedcomments/threadedcomment2.xml" Id="Rfdd47371687e4f5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316a25988c7b451c" /><Relationship Type="http://schemas.openxmlformats.org/officeDocument/2006/relationships/vmlDrawing" Target="/xl/drawings/vmldrawing3.vml" Id="R4f0c586f21aa469c" /><Relationship Type="http://schemas.microsoft.com/office/2017/10/relationships/threadedComment" Target="/xl/threadedcomments/threadedcomment3.xml" Id="R8f397ff1a2af4f8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7dcd77997c3e4906" /><Relationship Type="http://schemas.openxmlformats.org/officeDocument/2006/relationships/vmlDrawing" Target="/xl/drawings/vmldrawing4.vml" Id="Ra0e9bc5471db4a98" /><Relationship Type="http://schemas.microsoft.com/office/2017/10/relationships/threadedComment" Target="/xl/threadedcomments/threadedcomment4.xml" Id="Rd88028f0becf48b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5.xml" Id="Rc6d8f340d27a40f5" /><Relationship Type="http://schemas.openxmlformats.org/officeDocument/2006/relationships/vmlDrawing" Target="/xl/drawings/vmldrawing5.vml" Id="R4fef2382359747e9" /><Relationship Type="http://schemas.microsoft.com/office/2017/10/relationships/threadedComment" Target="/xl/threadedcomments/threadedcomment5.xml" Id="R978d8ca9c29744d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6.xml" Id="Rb489c1ac6fe34391" /><Relationship Type="http://schemas.openxmlformats.org/officeDocument/2006/relationships/vmlDrawing" Target="/xl/drawings/vmldrawing6.vml" Id="R1c3b42b485804f5a" /><Relationship Type="http://schemas.microsoft.com/office/2017/10/relationships/threadedComment" Target="/xl/threadedcomments/threadedcomment6.xml" Id="R22a76dbcb3c64ef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7.xml" Id="R0c6e826c39a24cff" /><Relationship Type="http://schemas.openxmlformats.org/officeDocument/2006/relationships/vmlDrawing" Target="/xl/drawings/vmldrawing7.vml" Id="R05d1df0159654432" /><Relationship Type="http://schemas.microsoft.com/office/2017/10/relationships/threadedComment" Target="/xl/threadedcomments/threadedcomment7.xml" Id="R57838241aaca443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8.xml" Id="Rd7451a05b45f48ee" /><Relationship Type="http://schemas.openxmlformats.org/officeDocument/2006/relationships/vmlDrawing" Target="/xl/drawings/vmldrawing8.vml" Id="R664841d7077b4be2" /><Relationship Type="http://schemas.microsoft.com/office/2017/10/relationships/threadedComment" Target="/xl/threadedcomments/threadedcomment8.xml" Id="Rbe378d6d4281468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9.xml" Id="R63ba67eaa7ce47d0" /><Relationship Type="http://schemas.openxmlformats.org/officeDocument/2006/relationships/vmlDrawing" Target="/xl/drawings/vmldrawing9.vml" Id="R7dbc361d70434306" /><Relationship Type="http://schemas.microsoft.com/office/2017/10/relationships/threadedComment" Target="/xl/threadedcomments/threadedcomment9.xml" Id="R27aa8658982c422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comments" Target="/xl/comments10.xml" Id="R83ea43fc004b4e3e" /><Relationship Type="http://schemas.openxmlformats.org/officeDocument/2006/relationships/vmlDrawing" Target="/xl/drawings/vmldrawing10.vml" Id="R6a0defd37fe5421e" /><Relationship Type="http://schemas.microsoft.com/office/2017/10/relationships/threadedComment" Target="/xl/threadedcomments/threadedcomment10.xml" Id="R62691f325a3643f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comments" Target="/xl/comments11.xml" Id="Rd78d132bc4114202" /><Relationship Type="http://schemas.openxmlformats.org/officeDocument/2006/relationships/vmlDrawing" Target="/xl/drawings/vmldrawing11.vml" Id="Rbf71fa7e5c514203" /><Relationship Type="http://schemas.microsoft.com/office/2017/10/relationships/threadedComment" Target="/xl/threadedcomments/threadedcomment11.xml" Id="R7475d55ae57648c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comments" Target="/xl/comments12.xml" Id="R33a0aee9ce37452f" /><Relationship Type="http://schemas.openxmlformats.org/officeDocument/2006/relationships/vmlDrawing" Target="/xl/drawings/vmldrawing12.vml" Id="Rf10df70600aa4905" /><Relationship Type="http://schemas.microsoft.com/office/2017/10/relationships/threadedComment" Target="/xl/threadedcomments/threadedcomment12.xml" Id="Rcdbad229d6f04dcb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comments" Target="/xl/comments13.xml" Id="R272a2c6a16be47bf" /><Relationship Type="http://schemas.openxmlformats.org/officeDocument/2006/relationships/vmlDrawing" Target="/xl/drawings/vmldrawing13.vml" Id="R674b4bac69304d3f" /><Relationship Type="http://schemas.microsoft.com/office/2017/10/relationships/threadedComment" Target="/xl/threadedcomments/threadedcomment13.xml" Id="R57cd0d03534447f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comments" Target="/xl/comments14.xml" Id="R9d2fc21da6314755" /><Relationship Type="http://schemas.openxmlformats.org/officeDocument/2006/relationships/vmlDrawing" Target="/xl/drawings/vmldrawing14.vml" Id="Ref9b415ee43e43c1" /><Relationship Type="http://schemas.microsoft.com/office/2017/10/relationships/threadedComment" Target="/xl/threadedcomments/threadedcomment14.xml" Id="R4ed1bc8f0e3c4060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comments" Target="/xl/comments15.xml" Id="R15a9b74f45ba445d" /><Relationship Type="http://schemas.openxmlformats.org/officeDocument/2006/relationships/vmlDrawing" Target="/xl/drawings/vmldrawing15.vml" Id="R4b7330a6f7634d7c" /><Relationship Type="http://schemas.microsoft.com/office/2017/10/relationships/threadedComment" Target="/xl/threadedcomments/threadedcomment15.xml" Id="Rd8db55ae29f241e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comments" Target="/xl/comments16.xml" Id="R25621c4e28c24d65" /><Relationship Type="http://schemas.openxmlformats.org/officeDocument/2006/relationships/vmlDrawing" Target="/xl/drawings/vmldrawing16.vml" Id="R1117f9803c02474b" /><Relationship Type="http://schemas.microsoft.com/office/2017/10/relationships/threadedComment" Target="/xl/threadedcomments/threadedcomment16.xml" Id="R1dfb3125e26d4b1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comments" Target="/xl/comments17.xml" Id="Rd3be08bdb25249c7" /><Relationship Type="http://schemas.openxmlformats.org/officeDocument/2006/relationships/vmlDrawing" Target="/xl/drawings/vmldrawing17.vml" Id="Ra3445ea417bc4ba5" /><Relationship Type="http://schemas.microsoft.com/office/2017/10/relationships/threadedComment" Target="/xl/threadedcomments/threadedcomment17.xml" Id="Re1b47cd6efbb4caa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comments" Target="/xl/comments18.xml" Id="R3b5d2cf47f5b4bd1" /><Relationship Type="http://schemas.openxmlformats.org/officeDocument/2006/relationships/vmlDrawing" Target="/xl/drawings/vmldrawing18.vml" Id="R30c39e1e7d764ac0" /><Relationship Type="http://schemas.microsoft.com/office/2017/10/relationships/threadedComment" Target="/xl/threadedcomments/threadedcomment18.xml" Id="R72caac2694574940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Restaurant &amp; Cloud Kitchen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3000</x:v>
      </x:c>
      <x:c r="D6" s="10" t="str">
        <x:v>retained orders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960000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320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555000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185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135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280000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405000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5000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125000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0.421875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2074.074074074074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1500000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663703.7037037037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300000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600000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2600000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7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1900000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5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7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768000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700000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279599.99999999994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-400.0000000000582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960000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3000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12875606.139002174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2015898.1796659539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2128786.9415256237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514483.3333333334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85516.66666666663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3000</x:v>
      </x:c>
      <x:c r="D43" s="4" t="n">
        <x:f>MIN($C$10,$C$6*(1+$C$11)^1)</x:f>
        <x:v>3060</x:v>
      </x:c>
      <x:c r="E43" s="4" t="n">
        <x:f>MIN($C$10,$C$6*(1+$C$11)^2)</x:f>
        <x:v>3121.2</x:v>
      </x:c>
      <x:c r="F43" s="4" t="n">
        <x:f>MIN($C$10,$C$6*(1+$C$11)^3)</x:f>
        <x:v>3183.624</x:v>
      </x:c>
      <x:c r="G43" s="4" t="n">
        <x:f>MIN($C$10,$C$6*(1+$C$11)^4)</x:f>
        <x:v>3247.29648</x:v>
      </x:c>
      <x:c r="H43" s="4" t="n">
        <x:f>MIN($C$10,$C$6*(1+$C$11)^5)</x:f>
        <x:v>3312.2424096</x:v>
      </x:c>
      <x:c r="I43" s="4" t="n">
        <x:f>MIN($C$10,$C$6*(1+$C$11)^6)</x:f>
        <x:v>3378.487257792</x:v>
      </x:c>
      <x:c r="J43" s="4" t="n">
        <x:f>MIN($C$10,$C$6*(1+$C$11)^7)</x:f>
        <x:v>3446.0570029478395</x:v>
      </x:c>
      <x:c r="K43" s="4" t="n">
        <x:f>MIN($C$10,$C$6*(1+$C$11)^8)</x:f>
        <x:v>3514.9781430067965</x:v>
      </x:c>
      <x:c r="L43" s="4" t="n">
        <x:f>MIN($C$10,$C$6*(1+$C$11)^9)</x:f>
        <x:v>3585.2777058669326</x:v>
      </x:c>
      <x:c r="M43" s="4" t="n">
        <x:f>MIN($C$10,$C$6*(1+$C$11)^10)</x:f>
        <x:v>3656.983259984271</x:v>
      </x:c>
      <x:c r="N43" s="4" t="n">
        <x:f>MIN($C$10,$C$6*(1+$C$11)^11)</x:f>
        <x:v>3730.122925183956</x:v>
      </x:c>
    </x:row>
    <x:row r="44" ht="31" customHeight="1">
      <x:c r="A44" s="10" t="str">
        <x:v>Net unit price</x:v>
      </x:c>
      <x:c r="B44" s="4"/>
      <x:c r="C44" s="4" t="n">
        <x:f>$C$7*(1+$C$34)^0</x:f>
        <x:v>320</x:v>
      </x:c>
      <x:c r="D44" s="4" t="n">
        <x:f>$C$7*(1+$C$34)^1</x:f>
        <x:v>320</x:v>
      </x:c>
      <x:c r="E44" s="4" t="n">
        <x:f>$C$7*(1+$C$34)^2</x:f>
        <x:v>320</x:v>
      </x:c>
      <x:c r="F44" s="4" t="n">
        <x:f>$C$7*(1+$C$34)^3</x:f>
        <x:v>320</x:v>
      </x:c>
      <x:c r="G44" s="4" t="n">
        <x:f>$C$7*(1+$C$34)^4</x:f>
        <x:v>320</x:v>
      </x:c>
      <x:c r="H44" s="4" t="n">
        <x:f>$C$7*(1+$C$34)^5</x:f>
        <x:v>320</x:v>
      </x:c>
      <x:c r="I44" s="4" t="n">
        <x:f>$C$7*(1+$C$34)^6</x:f>
        <x:v>320</x:v>
      </x:c>
      <x:c r="J44" s="4" t="n">
        <x:f>$C$7*(1+$C$34)^7</x:f>
        <x:v>320</x:v>
      </x:c>
      <x:c r="K44" s="4" t="n">
        <x:f>$C$7*(1+$C$34)^8</x:f>
        <x:v>320</x:v>
      </x:c>
      <x:c r="L44" s="4" t="n">
        <x:f>$C$7*(1+$C$34)^9</x:f>
        <x:v>320</x:v>
      </x:c>
      <x:c r="M44" s="4" t="n">
        <x:f>$C$7*(1+$C$34)^10</x:f>
        <x:v>320</x:v>
      </x:c>
      <x:c r="N44" s="4" t="n">
        <x:f>$C$7*(1+$C$34)^11</x:f>
        <x:v>320</x:v>
      </x:c>
    </x:row>
    <x:row r="45" ht="31" customHeight="1">
      <x:c r="A45" s="23" t="str">
        <x:v>Net revenue</x:v>
      </x:c>
      <x:c r="B45" s="22"/>
      <x:c r="C45" s="22" t="n">
        <x:f>C43*C44</x:f>
        <x:v>960000</x:v>
      </x:c>
      <x:c r="D45" s="22" t="n">
        <x:f>D43*D44</x:f>
        <x:v>979200</x:v>
      </x:c>
      <x:c r="E45" s="22" t="n">
        <x:f>E43*E44</x:f>
        <x:v>998784</x:v>
      </x:c>
      <x:c r="F45" s="22" t="n">
        <x:f>F43*F44</x:f>
        <x:v>1018759.6799999999</x:v>
      </x:c>
      <x:c r="G45" s="22" t="n">
        <x:f>G43*G44</x:f>
        <x:v>1039134.8736</x:v>
      </x:c>
      <x:c r="H45" s="22" t="n">
        <x:f>H43*H44</x:f>
        <x:v>1059917.571072</x:v>
      </x:c>
      <x:c r="I45" s="22" t="n">
        <x:f>I43*I44</x:f>
        <x:v>1081115.92249344</x:v>
      </x:c>
      <x:c r="J45" s="22" t="n">
        <x:f>J43*J44</x:f>
        <x:v>1102738.2409433087</x:v>
      </x:c>
      <x:c r="K45" s="22" t="n">
        <x:f>K43*K44</x:f>
        <x:v>1124793.005762175</x:v>
      </x:c>
      <x:c r="L45" s="22" t="n">
        <x:f>L43*L44</x:f>
        <x:v>1147288.8658774183</x:v>
      </x:c>
      <x:c r="M45" s="22" t="n">
        <x:f>M43*M44</x:f>
        <x:v>1170234.6431949667</x:v>
      </x:c>
      <x:c r="N45" s="22" t="n">
        <x:f>N43*N44</x:f>
        <x:v>1193639.3360588658</x:v>
      </x:c>
    </x:row>
    <x:row r="46" ht="31" customHeight="1">
      <x:c r="A46" s="10" t="str">
        <x:v>Variable cost per unit</x:v>
      </x:c>
      <x:c r="B46" s="4"/>
      <x:c r="C46" s="4" t="n">
        <x:f>$C$8</x:f>
        <x:v>185</x:v>
      </x:c>
      <x:c r="D46" s="4" t="n">
        <x:f>$C$8</x:f>
        <x:v>185</x:v>
      </x:c>
      <x:c r="E46" s="4" t="n">
        <x:f>$C$8</x:f>
        <x:v>185</x:v>
      </x:c>
      <x:c r="F46" s="4" t="n">
        <x:f>$C$8</x:f>
        <x:v>185</x:v>
      </x:c>
      <x:c r="G46" s="4" t="n">
        <x:f>$C$8</x:f>
        <x:v>185</x:v>
      </x:c>
      <x:c r="H46" s="4" t="n">
        <x:f>$C$8</x:f>
        <x:v>185</x:v>
      </x:c>
      <x:c r="I46" s="4" t="n">
        <x:f>$C$8</x:f>
        <x:v>185</x:v>
      </x:c>
      <x:c r="J46" s="4" t="n">
        <x:f>$C$8</x:f>
        <x:v>185</x:v>
      </x:c>
      <x:c r="K46" s="4" t="n">
        <x:f>$C$8</x:f>
        <x:v>185</x:v>
      </x:c>
      <x:c r="L46" s="4" t="n">
        <x:f>$C$8</x:f>
        <x:v>185</x:v>
      </x:c>
      <x:c r="M46" s="4" t="n">
        <x:f>$C$8</x:f>
        <x:v>185</x:v>
      </x:c>
      <x:c r="N46" s="4" t="n">
        <x:f>$C$8</x:f>
        <x:v>185</x:v>
      </x:c>
    </x:row>
    <x:row r="47" ht="31" customHeight="1">
      <x:c r="A47" s="10" t="str">
        <x:v>Variable cash cost</x:v>
      </x:c>
      <x:c r="B47" s="4"/>
      <x:c r="C47" s="4" t="n">
        <x:f>C43*C46</x:f>
        <x:v>555000</x:v>
      </x:c>
      <x:c r="D47" s="4" t="n">
        <x:f>D43*D46</x:f>
        <x:v>566100</x:v>
      </x:c>
      <x:c r="E47" s="4" t="n">
        <x:f>E43*E46</x:f>
        <x:v>577422</x:v>
      </x:c>
      <x:c r="F47" s="4" t="n">
        <x:f>F43*F46</x:f>
        <x:v>588970.44</x:v>
      </x:c>
      <x:c r="G47" s="4" t="n">
        <x:f>G43*G46</x:f>
        <x:v>600749.8488</x:v>
      </x:c>
      <x:c r="H47" s="4" t="n">
        <x:f>H43*H46</x:f>
        <x:v>612764.845776</x:v>
      </x:c>
      <x:c r="I47" s="4" t="n">
        <x:f>I43*I46</x:f>
        <x:v>625020.14269152</x:v>
      </x:c>
      <x:c r="J47" s="4" t="n">
        <x:f>J43*J46</x:f>
        <x:v>637520.5455453503</x:v>
      </x:c>
      <x:c r="K47" s="4" t="n">
        <x:f>K43*K46</x:f>
        <x:v>650270.9564562574</x:v>
      </x:c>
      <x:c r="L47" s="4" t="n">
        <x:f>L43*L46</x:f>
        <x:v>663276.3755853826</x:v>
      </x:c>
      <x:c r="M47" s="4" t="n">
        <x:f>M43*M46</x:f>
        <x:v>676541.9030970902</x:v>
      </x:c>
      <x:c r="N47" s="4" t="n">
        <x:f>N43*N46</x:f>
        <x:v>690072.7411590319</x:v>
      </x:c>
    </x:row>
    <x:row r="48" ht="31" customHeight="1">
      <x:c r="A48" s="10" t="str">
        <x:v>Contribution</x:v>
      </x:c>
      <x:c r="B48" s="4"/>
      <x:c r="C48" s="4" t="n">
        <x:f>C45-C47</x:f>
        <x:v>405000</x:v>
      </x:c>
      <x:c r="D48" s="4" t="n">
        <x:f>D45-D47</x:f>
        <x:v>413100</x:v>
      </x:c>
      <x:c r="E48" s="4" t="n">
        <x:f>E45-E47</x:f>
        <x:v>421362</x:v>
      </x:c>
      <x:c r="F48" s="4" t="n">
        <x:f>F45-F47</x:f>
        <x:v>429789.24</x:v>
      </x:c>
      <x:c r="G48" s="4" t="n">
        <x:f>G45-G47</x:f>
        <x:v>438385.0248</x:v>
      </x:c>
      <x:c r="H48" s="4" t="n">
        <x:f>H45-H47</x:f>
        <x:v>447152.72529600014</x:v>
      </x:c>
      <x:c r="I48" s="4" t="n">
        <x:f>I45-I47</x:f>
        <x:v>456095.77980192006</x:v>
      </x:c>
      <x:c r="J48" s="4" t="n">
        <x:f>J45-J47</x:f>
        <x:v>465217.6953979584</x:v>
      </x:c>
      <x:c r="K48" s="4" t="n">
        <x:f>K45-K47</x:f>
        <x:v>474522.0493059176</x:v>
      </x:c>
      <x:c r="L48" s="4" t="n">
        <x:f>L45-L47</x:f>
        <x:v>484012.49029203574</x:v>
      </x:c>
      <x:c r="M48" s="4" t="n">
        <x:f>M45-M47</x:f>
        <x:v>493692.7400978765</x:v>
      </x:c>
      <x:c r="N48" s="4" t="n">
        <x:f>N45-N47</x:f>
        <x:v>503566.5948998339</x:v>
      </x:c>
    </x:row>
    <x:row r="49" ht="31" customHeight="1">
      <x:c r="A49" s="10" t="str">
        <x:v>Fixed cash costs</x:v>
      </x:c>
      <x:c r="B49" s="4"/>
      <x:c r="C49" s="4" t="n">
        <x:f>$C$9*(1+$C$12)^0</x:f>
        <x:v>280000</x:v>
      </x:c>
      <x:c r="D49" s="4" t="n">
        <x:f>$C$9*(1+$C$12)^1</x:f>
        <x:v>280839.99999999994</x:v>
      </x:c>
      <x:c r="E49" s="4" t="n">
        <x:f>$C$9*(1+$C$12)^2</x:f>
        <x:v>281682.5199999999</x:v>
      </x:c>
      <x:c r="F49" s="4" t="n">
        <x:f>$C$9*(1+$C$12)^3</x:f>
        <x:v>282527.56755999994</x:v>
      </x:c>
      <x:c r="G49" s="4" t="n">
        <x:f>$C$9*(1+$C$12)^4</x:f>
        <x:v>283375.15026267985</x:v>
      </x:c>
      <x:c r="H49" s="4" t="n">
        <x:f>$C$9*(1+$C$12)^5</x:f>
        <x:v>284225.2757134679</x:v>
      </x:c>
      <x:c r="I49" s="4" t="n">
        <x:f>$C$9*(1+$C$12)^6</x:f>
        <x:v>285077.9515406082</x:v>
      </x:c>
      <x:c r="J49" s="4" t="n">
        <x:f>$C$9*(1+$C$12)^7</x:f>
        <x:v>285933.18539523</x:v>
      </x:c>
      <x:c r="K49" s="4" t="n">
        <x:f>$C$9*(1+$C$12)^8</x:f>
        <x:v>286790.9849514157</x:v>
      </x:c>
      <x:c r="L49" s="4" t="n">
        <x:f>$C$9*(1+$C$12)^9</x:f>
        <x:v>287651.35790626984</x:v>
      </x:c>
      <x:c r="M49" s="4" t="n">
        <x:f>$C$9*(1+$C$12)^10</x:f>
        <x:v>288514.31197998865</x:v>
      </x:c>
      <x:c r="N49" s="4" t="n">
        <x:f>$C$9*(1+$C$12)^11</x:f>
        <x:v>289379.8549159286</x:v>
      </x:c>
    </x:row>
    <x:row r="50" ht="31" customHeight="1">
      <x:c r="A50" s="23" t="str">
        <x:v>Operating cash profit (EBITDA)</x:v>
      </x:c>
      <x:c r="B50" s="22"/>
      <x:c r="C50" s="22" t="n">
        <x:f>C48-C49</x:f>
        <x:v>125000</x:v>
      </x:c>
      <x:c r="D50" s="22" t="n">
        <x:f>D48-D49</x:f>
        <x:v>132260.00000000006</x:v>
      </x:c>
      <x:c r="E50" s="22" t="n">
        <x:f>E48-E49</x:f>
        <x:v>139679.4800000001</x:v>
      </x:c>
      <x:c r="F50" s="22" t="n">
        <x:f>F48-F49</x:f>
        <x:v>147261.67244000005</x:v>
      </x:c>
      <x:c r="G50" s="22" t="n">
        <x:f>G48-G49</x:f>
        <x:v>155009.87453732017</x:v>
      </x:c>
      <x:c r="H50" s="22" t="n">
        <x:f>H48-H49</x:f>
        <x:v>162927.44958253222</x:v>
      </x:c>
      <x:c r="I50" s="22" t="n">
        <x:f>I48-I49</x:f>
        <x:v>171017.82826131186</x:v>
      </x:c>
      <x:c r="J50" s="22" t="n">
        <x:f>J48-J49</x:f>
        <x:v>179284.51000272838</x:v>
      </x:c>
      <x:c r="K50" s="22" t="n">
        <x:f>K48-K49</x:f>
        <x:v>187731.0643545019</x:v>
      </x:c>
      <x:c r="L50" s="22" t="n">
        <x:f>L48-L49</x:f>
        <x:v>196361.1323857659</x:v>
      </x:c>
      <x:c r="M50" s="22" t="n">
        <x:f>M48-M49</x:f>
        <x:v>205178.42811788787</x:v>
      </x:c>
      <x:c r="N50" s="22" t="n">
        <x:f>N48-N49</x:f>
        <x:v>214186.73998390528</x:v>
      </x:c>
    </x:row>
    <x:row r="51" ht="31" customHeight="1">
      <x:c r="A51" s="10" t="str">
        <x:v>Planning depreciation</x:v>
      </x:c>
      <x:c r="B51" s="4"/>
      <x:c r="C51" s="4" t="n">
        <x:f>$C$13/$C$33/$C$30</x:f>
        <x:v>25000</x:v>
      </x:c>
      <x:c r="D51" s="4" t="n">
        <x:f>$C$13/$C$33/$C$30</x:f>
        <x:v>25000</x:v>
      </x:c>
      <x:c r="E51" s="4" t="n">
        <x:f>$C$13/$C$33/$C$30</x:f>
        <x:v>25000</x:v>
      </x:c>
      <x:c r="F51" s="4" t="n">
        <x:f>$C$13/$C$33/$C$30</x:f>
        <x:v>25000</x:v>
      </x:c>
      <x:c r="G51" s="4" t="n">
        <x:f>$C$13/$C$33/$C$30</x:f>
        <x:v>25000</x:v>
      </x:c>
      <x:c r="H51" s="4" t="n">
        <x:f>$C$13/$C$33/$C$30</x:f>
        <x:v>25000</x:v>
      </x:c>
      <x:c r="I51" s="4" t="n">
        <x:f>$C$13/$C$33/$C$30</x:f>
        <x:v>25000</x:v>
      </x:c>
      <x:c r="J51" s="4" t="n">
        <x:f>$C$13/$C$33/$C$30</x:f>
        <x:v>25000</x:v>
      </x:c>
      <x:c r="K51" s="4" t="n">
        <x:f>$C$13/$C$33/$C$30</x:f>
        <x:v>25000</x:v>
      </x:c>
      <x:c r="L51" s="4" t="n">
        <x:f>$C$13/$C$33/$C$30</x:f>
        <x:v>25000</x:v>
      </x:c>
      <x:c r="M51" s="4" t="n">
        <x:f>$C$13/$C$33/$C$30</x:f>
        <x:v>25000</x:v>
      </x:c>
      <x:c r="N51" s="4" t="n">
        <x:f>$C$13/$C$33/$C$30</x:f>
        <x:v>25000</x:v>
      </x:c>
    </x:row>
    <x:row r="52" ht="31" customHeight="1">
      <x:c r="A52" s="10" t="str">
        <x:v>Operating profit (EBIT)</x:v>
      </x:c>
      <x:c r="B52" s="4"/>
      <x:c r="C52" s="4" t="n">
        <x:f>C50-C51</x:f>
        <x:v>100000</x:v>
      </x:c>
      <x:c r="D52" s="4" t="n">
        <x:f>D50-D51</x:f>
        <x:v>107260.00000000006</x:v>
      </x:c>
      <x:c r="E52" s="4" t="n">
        <x:f>E50-E51</x:f>
        <x:v>114679.4800000001</x:v>
      </x:c>
      <x:c r="F52" s="4" t="n">
        <x:f>F50-F51</x:f>
        <x:v>122261.67244000005</x:v>
      </x:c>
      <x:c r="G52" s="4" t="n">
        <x:f>G50-G51</x:f>
        <x:v>130009.87453732017</x:v>
      </x:c>
      <x:c r="H52" s="4" t="n">
        <x:f>H50-H51</x:f>
        <x:v>137927.44958253222</x:v>
      </x:c>
      <x:c r="I52" s="4" t="n">
        <x:f>I50-I51</x:f>
        <x:v>146017.82826131186</x:v>
      </x:c>
      <x:c r="J52" s="4" t="n">
        <x:f>J50-J51</x:f>
        <x:v>154284.51000272838</x:v>
      </x:c>
      <x:c r="K52" s="4" t="n">
        <x:f>K50-K51</x:f>
        <x:v>162731.0643545019</x:v>
      </x:c>
      <x:c r="L52" s="4" t="n">
        <x:f>L50-L51</x:f>
        <x:v>171361.1323857659</x:v>
      </x:c>
      <x:c r="M52" s="4" t="n">
        <x:f>M50-M51</x:f>
        <x:v>180178.42811788787</x:v>
      </x:c>
      <x:c r="N52" s="4" t="n">
        <x:f>N50-N51</x:f>
        <x:v>189186.73998390528</x:v>
      </x:c>
    </x:row>
    <x:row r="53" ht="31" customHeight="1">
      <x:c r="A53" s="10" t="str">
        <x:v>Receivables</x:v>
      </x:c>
      <x:c r="B53" s="4"/>
      <x:c r="C53" s="4" t="n">
        <x:f>C45*$C$16/$C$29</x:f>
        <x:v>224000</x:v>
      </x:c>
      <x:c r="D53" s="4" t="n">
        <x:f>D45*$C$16/$C$29</x:f>
        <x:v>228480</x:v>
      </x:c>
      <x:c r="E53" s="4" t="n">
        <x:f>E45*$C$16/$C$29</x:f>
        <x:v>233049.6</x:v>
      </x:c>
      <x:c r="F53" s="4" t="n">
        <x:f>F45*$C$16/$C$29</x:f>
        <x:v>237710.592</x:v>
      </x:c>
      <x:c r="G53" s="4" t="n">
        <x:f>G45*$C$16/$C$29</x:f>
        <x:v>242464.80384</x:v>
      </x:c>
      <x:c r="H53" s="4" t="n">
        <x:f>H45*$C$16/$C$29</x:f>
        <x:v>247314.0999168</x:v>
      </x:c>
      <x:c r="I53" s="4" t="n">
        <x:f>I45*$C$16/$C$29</x:f>
        <x:v>252260.38191513604</x:v>
      </x:c>
      <x:c r="J53" s="4" t="n">
        <x:f>J45*$C$16/$C$29</x:f>
        <x:v>257305.58955343868</x:v>
      </x:c>
      <x:c r="K53" s="4" t="n">
        <x:f>K45*$C$16/$C$29</x:f>
        <x:v>262451.7013445075</x:v>
      </x:c>
      <x:c r="L53" s="4" t="n">
        <x:f>L45*$C$16/$C$29</x:f>
        <x:v>267700.73537139763</x:v>
      </x:c>
      <x:c r="M53" s="4" t="n">
        <x:f>M45*$C$16/$C$29</x:f>
        <x:v>273054.7500788256</x:v>
      </x:c>
      <x:c r="N53" s="4" t="n">
        <x:f>N45*$C$16/$C$29</x:f>
        <x:v>278515.845080402</x:v>
      </x:c>
    </x:row>
    <x:row r="54" ht="31" customHeight="1">
      <x:c r="A54" s="10" t="str">
        <x:v>Own inventory</x:v>
      </x:c>
      <x:c r="B54" s="4"/>
      <x:c r="C54" s="4" t="n">
        <x:f>C47*$C$31*$C$17/$C$29</x:f>
        <x:v>55500</x:v>
      </x:c>
      <x:c r="D54" s="4" t="n">
        <x:f>D47*$C$31*$C$17/$C$29</x:f>
        <x:v>56610</x:v>
      </x:c>
      <x:c r="E54" s="4" t="n">
        <x:f>E47*$C$31*$C$17/$C$29</x:f>
        <x:v>57742.2</x:v>
      </x:c>
      <x:c r="F54" s="4" t="n">
        <x:f>F47*$C$31*$C$17/$C$29</x:f>
        <x:v>58897.043999999994</x:v>
      </x:c>
      <x:c r="G54" s="4" t="n">
        <x:f>G47*$C$31*$C$17/$C$29</x:f>
        <x:v>60074.98488</x:v>
      </x:c>
      <x:c r="H54" s="4" t="n">
        <x:f>H47*$C$31*$C$17/$C$29</x:f>
        <x:v>61276.48457759999</x:v>
      </x:c>
      <x:c r="I54" s="4" t="n">
        <x:f>I47*$C$31*$C$17/$C$29</x:f>
        <x:v>62502.014269152</x:v>
      </x:c>
      <x:c r="J54" s="4" t="n">
        <x:f>J47*$C$31*$C$17/$C$29</x:f>
        <x:v>63752.05455453503</x:v>
      </x:c>
      <x:c r="K54" s="4" t="n">
        <x:f>K47*$C$31*$C$17/$C$29</x:f>
        <x:v>65027.09564562573</x:v>
      </x:c>
      <x:c r="L54" s="4" t="n">
        <x:f>L47*$C$31*$C$17/$C$29</x:f>
        <x:v>66327.63755853825</x:v>
      </x:c>
      <x:c r="M54" s="4" t="n">
        <x:f>M47*$C$31*$C$17/$C$29</x:f>
        <x:v>67654.19030970901</x:v>
      </x:c>
      <x:c r="N54" s="4" t="n">
        <x:f>N47*$C$31*$C$17/$C$29</x:f>
        <x:v>69007.27411590319</x:v>
      </x:c>
    </x:row>
    <x:row r="55" ht="31" customHeight="1">
      <x:c r="A55" s="10" t="str">
        <x:v>Supplier payables</x:v>
      </x:c>
      <x:c r="B55" s="4"/>
      <x:c r="C55" s="4" t="n">
        <x:f>C47*$C$32*$C$18/$C$29</x:f>
        <x:v>90650</x:v>
      </x:c>
      <x:c r="D55" s="4" t="n">
        <x:f>D47*$C$32*$C$18/$C$29</x:f>
        <x:v>92463</x:v>
      </x:c>
      <x:c r="E55" s="4" t="n">
        <x:f>E47*$C$32*$C$18/$C$29</x:f>
        <x:v>94312.26</x:v>
      </x:c>
      <x:c r="F55" s="4" t="n">
        <x:f>F47*$C$32*$C$18/$C$29</x:f>
        <x:v>96198.50519999999</x:v>
      </x:c>
      <x:c r="G55" s="4" t="n">
        <x:f>G47*$C$32*$C$18/$C$29</x:f>
        <x:v>98122.475304</x:v>
      </x:c>
      <x:c r="H55" s="4" t="n">
        <x:f>H47*$C$32*$C$18/$C$29</x:f>
        <x:v>100084.92481007999</x:v>
      </x:c>
      <x:c r="I55" s="4" t="n">
        <x:f>I47*$C$32*$C$18/$C$29</x:f>
        <x:v>102086.6233062816</x:v>
      </x:c>
      <x:c r="J55" s="4" t="n">
        <x:f>J47*$C$32*$C$18/$C$29</x:f>
        <x:v>104128.35577240722</x:v>
      </x:c>
      <x:c r="K55" s="4" t="n">
        <x:f>K47*$C$32*$C$18/$C$29</x:f>
        <x:v>106210.92288785537</x:v>
      </x:c>
      <x:c r="L55" s="4" t="n">
        <x:f>L47*$C$32*$C$18/$C$29</x:f>
        <x:v>108335.14134561247</x:v>
      </x:c>
      <x:c r="M55" s="4" t="n">
        <x:f>M47*$C$32*$C$18/$C$29</x:f>
        <x:v>110501.84417252472</x:v>
      </x:c>
      <x:c r="N55" s="4" t="n">
        <x:f>N47*$C$32*$C$18/$C$29</x:f>
        <x:v>112711.88105597519</x:v>
      </x:c>
    </x:row>
    <x:row r="56" ht="31" customHeight="1">
      <x:c r="A56" s="23" t="str">
        <x:v>Net working capital</x:v>
      </x:c>
      <x:c r="B56" s="22"/>
      <x:c r="C56" s="22" t="n">
        <x:f>C53+C54-C55</x:f>
        <x:v>188850</x:v>
      </x:c>
      <x:c r="D56" s="22" t="n">
        <x:f>D53+D54-D55</x:f>
        <x:v>192627</x:v>
      </x:c>
      <x:c r="E56" s="22" t="n">
        <x:f>E53+E54-E55</x:f>
        <x:v>196479.53999999998</x:v>
      </x:c>
      <x:c r="F56" s="22" t="n">
        <x:f>F53+F54-F55</x:f>
        <x:v>200409.1308</x:v>
      </x:c>
      <x:c r="G56" s="22" t="n">
        <x:f>G53+G54-G55</x:f>
        <x:v>204417.313416</x:v>
      </x:c>
      <x:c r="H56" s="22" t="n">
        <x:f>H53+H54-H55</x:f>
        <x:v>208505.65968432004</x:v>
      </x:c>
      <x:c r="I56" s="22" t="n">
        <x:f>I53+I54-I55</x:f>
        <x:v>212675.77287800642</x:v>
      </x:c>
      <x:c r="J56" s="22" t="n">
        <x:f>J53+J54-J55</x:f>
        <x:v>216929.28833556653</x:v>
      </x:c>
      <x:c r="K56" s="22" t="n">
        <x:f>K53+K54-K55</x:f>
        <x:v>221267.87410227786</x:v>
      </x:c>
      <x:c r="L56" s="22" t="n">
        <x:f>L53+L54-L55</x:f>
        <x:v>225693.2315843234</x:v>
      </x:c>
      <x:c r="M56" s="22" t="n">
        <x:f>M53+M54-M55</x:f>
        <x:v>230207.09621600984</x:v>
      </x:c>
      <x:c r="N56" s="22" t="n">
        <x:f>N53+N54-N55</x:f>
        <x:v>234811.23814032998</x:v>
      </x:c>
    </x:row>
    <x:row r="57" ht="31" customHeight="1">
      <x:c r="A57" s="10" t="str">
        <x:v>Increase in working capital</x:v>
      </x:c>
      <x:c r="B57" s="4"/>
      <x:c r="C57" s="4" t="n">
        <x:f>C56</x:f>
        <x:v>188850</x:v>
      </x:c>
      <x:c r="D57" s="4" t="n">
        <x:f>D56-C56</x:f>
        <x:v>3777</x:v>
      </x:c>
      <x:c r="E57" s="4" t="n">
        <x:f>E56-D56</x:f>
        <x:v>3852.539999999979</x:v>
      </x:c>
      <x:c r="F57" s="4" t="n">
        <x:f>F56-E56</x:f>
        <x:v>3929.5908000000345</x:v>
      </x:c>
      <x:c r="G57" s="4" t="n">
        <x:f>G56-F56</x:f>
        <x:v>4008.1826159999764</x:v>
      </x:c>
      <x:c r="H57" s="4" t="n">
        <x:f>H56-G56</x:f>
        <x:v>4088.3462683200487</x:v>
      </x:c>
      <x:c r="I57" s="4" t="n">
        <x:f>I56-H56</x:f>
        <x:v>4170.113193686382</x:v>
      </x:c>
      <x:c r="J57" s="4" t="n">
        <x:f>J56-I56</x:f>
        <x:v>4253.515457560105</x:v>
      </x:c>
      <x:c r="K57" s="4" t="n">
        <x:f>K56-J56</x:f>
        <x:v>4338.5857667113305</x:v>
      </x:c>
      <x:c r="L57" s="4" t="n">
        <x:f>L56-K56</x:f>
        <x:v>4425.35748204554</x:v>
      </x:c>
      <x:c r="M57" s="4" t="n">
        <x:f>M56-L56</x:f>
        <x:v>4513.864631686447</x:v>
      </x:c>
      <x:c r="N57" s="4" t="n">
        <x:f>N56-M56</x:f>
        <x:v>4604.141924320138</x:v>
      </x:c>
    </x:row>
    <x:row r="58" ht="31" customHeight="1">
      <x:c r="A58" s="10" t="str">
        <x:v>Opening debt</x:v>
      </x:c>
      <x:c r="B58" s="4"/>
      <x:c r="C58" s="4" t="n">
        <x:f>$C$19</x:f>
        <x:v>700000</x:v>
      </x:c>
      <x:c r="D58" s="4" t="n">
        <x:f>C61</x:f>
        <x:v>688333.3333333334</x:v>
      </x:c>
      <x:c r="E58" s="4" t="n">
        <x:f>D61</x:f>
        <x:v>676666.6666666667</x:v>
      </x:c>
      <x:c r="F58" s="4" t="n">
        <x:f>E61</x:f>
        <x:v>665000.0000000001</x:v>
      </x:c>
      <x:c r="G58" s="4" t="n">
        <x:f>F61</x:f>
        <x:v>653333.3333333335</x:v>
      </x:c>
      <x:c r="H58" s="4" t="n">
        <x:f>G61</x:f>
        <x:v>641666.6666666669</x:v>
      </x:c>
      <x:c r="I58" s="4" t="n">
        <x:f>H61</x:f>
        <x:v>630000.0000000002</x:v>
      </x:c>
      <x:c r="J58" s="4" t="n">
        <x:f>I61</x:f>
        <x:v>618333.3333333336</x:v>
      </x:c>
      <x:c r="K58" s="4" t="n">
        <x:f>J61</x:f>
        <x:v>606666.666666667</x:v>
      </x:c>
      <x:c r="L58" s="4" t="n">
        <x:f>K61</x:f>
        <x:v>595000.0000000003</x:v>
      </x:c>
      <x:c r="M58" s="4" t="n">
        <x:f>L61</x:f>
        <x:v>583333.3333333337</x:v>
      </x:c>
      <x:c r="N58" s="4" t="n">
        <x:f>M61</x:f>
        <x:v>571666.6666666671</x:v>
      </x:c>
    </x:row>
    <x:row r="59" ht="31" customHeight="1">
      <x:c r="A59" s="10" t="str">
        <x:v>Interest cash</x:v>
      </x:c>
      <x:c r="B59" s="4"/>
      <x:c r="C59" s="4" t="n">
        <x:f>C58*$C$20/$C$30</x:f>
        <x:v>7000</x:v>
      </x:c>
      <x:c r="D59" s="4" t="n">
        <x:f>D58*$C$20/$C$30</x:f>
        <x:v>6883.333333333333</x:v>
      </x:c>
      <x:c r="E59" s="4" t="n">
        <x:f>E58*$C$20/$C$30</x:f>
        <x:v>6766.666666666667</x:v>
      </x:c>
      <x:c r="F59" s="4" t="n">
        <x:f>F58*$C$20/$C$30</x:f>
        <x:v>6650.000000000001</x:v>
      </x:c>
      <x:c r="G59" s="4" t="n">
        <x:f>G58*$C$20/$C$30</x:f>
        <x:v>6533.333333333335</x:v>
      </x:c>
      <x:c r="H59" s="4" t="n">
        <x:f>H58*$C$20/$C$30</x:f>
        <x:v>6416.666666666668</x:v>
      </x:c>
      <x:c r="I59" s="4" t="n">
        <x:f>I58*$C$20/$C$30</x:f>
        <x:v>6300.000000000003</x:v>
      </x:c>
      <x:c r="J59" s="4" t="n">
        <x:f>J58*$C$20/$C$30</x:f>
        <x:v>6183.333333333336</x:v>
      </x:c>
      <x:c r="K59" s="4" t="n">
        <x:f>K58*$C$20/$C$30</x:f>
        <x:v>6066.666666666669</x:v>
      </x:c>
      <x:c r="L59" s="4" t="n">
        <x:f>L58*$C$20/$C$30</x:f>
        <x:v>5950.000000000004</x:v>
      </x:c>
      <x:c r="M59" s="4" t="n">
        <x:f>M58*$C$20/$C$30</x:f>
        <x:v>5833.333333333337</x:v>
      </x:c>
      <x:c r="N59" s="4" t="n">
        <x:f>N58*$C$20/$C$30</x:f>
        <x:v>5716.666666666671</x:v>
      </x:c>
    </x:row>
    <x:row r="60" ht="31" customHeight="1">
      <x:c r="A60" s="10" t="str">
        <x:v>Principal repayment</x:v>
      </x:c>
      <x:c r="B60" s="4"/>
      <x:c r="C60" s="4" t="n">
        <x:f>MIN(C58,$C$19/$C$21)</x:f>
        <x:v>11666.666666666666</x:v>
      </x:c>
      <x:c r="D60" s="4" t="n">
        <x:f>MIN(D58,$C$19/$C$21)</x:f>
        <x:v>11666.666666666666</x:v>
      </x:c>
      <x:c r="E60" s="4" t="n">
        <x:f>MIN(E58,$C$19/$C$21)</x:f>
        <x:v>11666.666666666666</x:v>
      </x:c>
      <x:c r="F60" s="4" t="n">
        <x:f>MIN(F58,$C$19/$C$21)</x:f>
        <x:v>11666.666666666666</x:v>
      </x:c>
      <x:c r="G60" s="4" t="n">
        <x:f>MIN(G58,$C$19/$C$21)</x:f>
        <x:v>11666.666666666666</x:v>
      </x:c>
      <x:c r="H60" s="4" t="n">
        <x:f>MIN(H58,$C$19/$C$21)</x:f>
        <x:v>11666.666666666666</x:v>
      </x:c>
      <x:c r="I60" s="4" t="n">
        <x:f>MIN(I58,$C$19/$C$21)</x:f>
        <x:v>11666.666666666666</x:v>
      </x:c>
      <x:c r="J60" s="4" t="n">
        <x:f>MIN(J58,$C$19/$C$21)</x:f>
        <x:v>11666.666666666666</x:v>
      </x:c>
      <x:c r="K60" s="4" t="n">
        <x:f>MIN(K58,$C$19/$C$21)</x:f>
        <x:v>11666.666666666666</x:v>
      </x:c>
      <x:c r="L60" s="4" t="n">
        <x:f>MIN(L58,$C$19/$C$21)</x:f>
        <x:v>11666.666666666666</x:v>
      </x:c>
      <x:c r="M60" s="4" t="n">
        <x:f>MIN(M58,$C$19/$C$21)</x:f>
        <x:v>11666.666666666666</x:v>
      </x:c>
      <x:c r="N60" s="4" t="n">
        <x:f>MIN(N58,$C$19/$C$21)</x:f>
        <x:v>11666.666666666666</x:v>
      </x:c>
    </x:row>
    <x:row r="61" ht="31" customHeight="1">
      <x:c r="A61" s="10" t="str">
        <x:v>Closing debt</x:v>
      </x:c>
      <x:c r="B61" s="4"/>
      <x:c r="C61" s="4" t="n">
        <x:f>C58-C60</x:f>
        <x:v>688333.3333333334</x:v>
      </x:c>
      <x:c r="D61" s="4" t="n">
        <x:f>D58-D60</x:f>
        <x:v>676666.6666666667</x:v>
      </x:c>
      <x:c r="E61" s="4" t="n">
        <x:f>E58-E60</x:f>
        <x:v>665000.0000000001</x:v>
      </x:c>
      <x:c r="F61" s="4" t="n">
        <x:f>F58-F60</x:f>
        <x:v>653333.3333333335</x:v>
      </x:c>
      <x:c r="G61" s="4" t="n">
        <x:f>G58-G60</x:f>
        <x:v>641666.6666666669</x:v>
      </x:c>
      <x:c r="H61" s="4" t="n">
        <x:f>H58-H60</x:f>
        <x:v>630000.0000000002</x:v>
      </x:c>
      <x:c r="I61" s="4" t="n">
        <x:f>I58-I60</x:f>
        <x:v>618333.3333333336</x:v>
      </x:c>
      <x:c r="J61" s="4" t="n">
        <x:f>J58-J60</x:f>
        <x:v>606666.666666667</x:v>
      </x:c>
      <x:c r="K61" s="4" t="n">
        <x:f>K58-K60</x:f>
        <x:v>595000.0000000003</x:v>
      </x:c>
      <x:c r="L61" s="4" t="n">
        <x:f>L58-L60</x:f>
        <x:v>583333.3333333337</x:v>
      </x:c>
      <x:c r="M61" s="4" t="n">
        <x:f>M58-M60</x:f>
        <x:v>571666.6666666671</x:v>
      </x:c>
      <x:c r="N61" s="4" t="n">
        <x:f>N58-N60</x:f>
        <x:v>560000.0000000005</x:v>
      </x:c>
    </x:row>
    <x:row r="62" ht="31" customHeight="1">
      <x:c r="A62" s="10" t="str">
        <x:v>Maintenance capital spend</x:v>
      </x:c>
      <x:c r="B62" s="4"/>
      <x:c r="C62" s="4" t="n">
        <x:f>$C$22</x:f>
        <x:v>3000</x:v>
      </x:c>
      <x:c r="D62" s="4" t="n">
        <x:f>$C$22</x:f>
        <x:v>3000</x:v>
      </x:c>
      <x:c r="E62" s="4" t="n">
        <x:f>$C$22</x:f>
        <x:v>3000</x:v>
      </x:c>
      <x:c r="F62" s="4" t="n">
        <x:f>$C$22</x:f>
        <x:v>3000</x:v>
      </x:c>
      <x:c r="G62" s="4" t="n">
        <x:f>$C$22</x:f>
        <x:v>3000</x:v>
      </x:c>
      <x:c r="H62" s="4" t="n">
        <x:f>$C$22</x:f>
        <x:v>3000</x:v>
      </x:c>
      <x:c r="I62" s="4" t="n">
        <x:f>$C$22</x:f>
        <x:v>3000</x:v>
      </x:c>
      <x:c r="J62" s="4" t="n">
        <x:f>$C$22</x:f>
        <x:v>3000</x:v>
      </x:c>
      <x:c r="K62" s="4" t="n">
        <x:f>$C$22</x:f>
        <x:v>3000</x:v>
      </x:c>
      <x:c r="L62" s="4" t="n">
        <x:f>$C$22</x:f>
        <x:v>3000</x:v>
      </x:c>
      <x:c r="M62" s="4" t="n">
        <x:f>$C$22</x:f>
        <x:v>3000</x:v>
      </x:c>
      <x:c r="N62" s="4" t="n">
        <x:f>$C$22</x:f>
        <x:v>3000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-85516.66666666666</x:v>
      </x:c>
      <x:c r="D66" s="22" t="n">
        <x:f>D50-D57-SUM(D59:D60)-SUM(D62:D65)</x:f>
        <x:v>106933.00000000006</x:v>
      </x:c>
      <x:c r="E66" s="22" t="n">
        <x:f>E50-E57-SUM(E59:E60)-SUM(E62:E65)</x:f>
        <x:v>114393.60666666679</x:v>
      </x:c>
      <x:c r="F66" s="22" t="n">
        <x:f>F50-F57-SUM(F59:F60)-SUM(F62:F65)</x:f>
        <x:v>122015.41497333335</x:v>
      </x:c>
      <x:c r="G66" s="22" t="n">
        <x:f>G50-G57-SUM(G59:G60)-SUM(G62:G65)</x:f>
        <x:v>129801.69192132019</x:v>
      </x:c>
      <x:c r="H66" s="22" t="n">
        <x:f>H50-H57-SUM(H59:H60)-SUM(H62:H65)</x:f>
        <x:v>137755.76998087883</x:v>
      </x:c>
      <x:c r="I66" s="22" t="n">
        <x:f>I50-I57-SUM(I59:I60)-SUM(I62:I65)</x:f>
        <x:v>145881.04840095883</x:v>
      </x:c>
      <x:c r="J66" s="22" t="n">
        <x:f>J50-J57-SUM(J59:J60)-SUM(J62:J65)</x:f>
        <x:v>154180.99454516827</x:v>
      </x:c>
      <x:c r="K66" s="22" t="n">
        <x:f>K50-K57-SUM(K59:K60)-SUM(K62:K65)</x:f>
        <x:v>162659.14525445722</x:v>
      </x:c>
      <x:c r="L66" s="22" t="n">
        <x:f>L50-L57-SUM(L59:L60)-SUM(L62:L65)</x:f>
        <x:v>171319.10823705368</x:v>
      </x:c>
      <x:c r="M66" s="22" t="n">
        <x:f>M50-M57-SUM(M59:M60)-SUM(M62:M65)</x:f>
        <x:v>180164.56348620143</x:v>
      </x:c>
      <x:c r="N66" s="22" t="n">
        <x:f>N50-N57-SUM(N59:N60)-SUM(N62:N65)</x:f>
        <x:v>189199.2647262518</x:v>
      </x:c>
    </x:row>
    <x:row r="67" ht="31" customHeight="1">
      <x:c r="A67" s="10" t="str">
        <x:v>Opening cash</x:v>
      </x:c>
      <x:c r="B67" s="4"/>
      <x:c r="C67" s="4" t="n">
        <x:f>$C$15</x:f>
        <x:v>600000</x:v>
      </x:c>
      <x:c r="D67" s="4" t="n">
        <x:f>C68</x:f>
        <x:v>514483.3333333334</x:v>
      </x:c>
      <x:c r="E67" s="4" t="n">
        <x:f>D68</x:f>
        <x:v>621416.3333333335</x:v>
      </x:c>
      <x:c r="F67" s="4" t="n">
        <x:f>E68</x:f>
        <x:v>735809.9400000003</x:v>
      </x:c>
      <x:c r="G67" s="4" t="n">
        <x:f>F68</x:f>
        <x:v>857825.3549733337</x:v>
      </x:c>
      <x:c r="H67" s="4" t="n">
        <x:f>G68</x:f>
        <x:v>987627.0468946538</x:v>
      </x:c>
      <x:c r="I67" s="4" t="n">
        <x:f>H68</x:f>
        <x:v>1125382.8168755327</x:v>
      </x:c>
      <x:c r="J67" s="4" t="n">
        <x:f>I68</x:f>
        <x:v>1271263.8652764915</x:v>
      </x:c>
      <x:c r="K67" s="4" t="n">
        <x:f>J68</x:f>
        <x:v>1425444.8598216597</x:v>
      </x:c>
      <x:c r="L67" s="4" t="n">
        <x:f>K68</x:f>
        <x:v>1588104.0050761169</x:v>
      </x:c>
      <x:c r="M67" s="4" t="n">
        <x:f>L68</x:f>
        <x:v>1759423.1133131706</x:v>
      </x:c>
      <x:c r="N67" s="4" t="n">
        <x:f>M68</x:f>
        <x:v>1939587.676799372</x:v>
      </x:c>
    </x:row>
    <x:row r="68" ht="31" customHeight="1">
      <x:c r="A68" s="23" t="str">
        <x:v>Closing cash</x:v>
      </x:c>
      <x:c r="B68" s="22"/>
      <x:c r="C68" s="22" t="n">
        <x:f>C67+C66</x:f>
        <x:v>514483.3333333334</x:v>
      </x:c>
      <x:c r="D68" s="22" t="n">
        <x:f>D67+D66</x:f>
        <x:v>621416.3333333335</x:v>
      </x:c>
      <x:c r="E68" s="22" t="n">
        <x:f>E67+E66</x:f>
        <x:v>735809.9400000003</x:v>
      </x:c>
      <x:c r="F68" s="22" t="n">
        <x:f>F67+F66</x:f>
        <x:v>857825.3549733337</x:v>
      </x:c>
      <x:c r="G68" s="22" t="n">
        <x:f>G67+G66</x:f>
        <x:v>987627.0468946538</x:v>
      </x:c>
      <x:c r="H68" s="22" t="n">
        <x:f>H67+H66</x:f>
        <x:v>1125382.8168755327</x:v>
      </x:c>
      <x:c r="I68" s="22" t="n">
        <x:f>I67+I66</x:f>
        <x:v>1271263.8652764915</x:v>
      </x:c>
      <x:c r="J68" s="22" t="n">
        <x:f>J67+J66</x:f>
        <x:v>1425444.8598216597</x:v>
      </x:c>
      <x:c r="K68" s="22" t="n">
        <x:f>K67+K66</x:f>
        <x:v>1588104.0050761169</x:v>
      </x:c>
      <x:c r="L68" s="22" t="n">
        <x:f>L67+L66</x:f>
        <x:v>1759423.1133131706</x:v>
      </x:c>
      <x:c r="M68" s="22" t="n">
        <x:f>M67+M66</x:f>
        <x:v>1939587.676799372</x:v>
      </x:c>
      <x:c r="N68" s="22" t="n">
        <x:f>N67+N66</x:f>
        <x:v>2128786.9415256237</x:v>
      </x:c>
    </x:row>
    <x:row r="69" ht="31" customHeight="1">
      <x:c r="A69" s="10" t="str">
        <x:v>Cash-buffer shortfall</x:v>
      </x:c>
      <x:c r="B69" s="4"/>
      <x:c r="C69" s="4" t="n">
        <x:f>MAX(0,$C$15-C68)</x:f>
        <x:v>85516.66666666663</x:v>
      </x:c>
      <x:c r="D69" s="4" t="n">
        <x:f>MAX(0,$C$15-D68)</x:f>
        <x:v>0</x:v>
      </x:c>
      <x:c r="E69" s="4" t="n">
        <x:f>MAX(0,$C$15-E68)</x:f>
        <x:v>0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6.696428571428572</x:v>
      </x:c>
      <x:c r="D70" s="30" t="n">
        <x:f>IF(SUM(D59:D60)&gt;0,D50/SUM(D59:D60),"No debt")</x:f>
        <x:v>7.1299191374663105</x:v>
      </x:c>
      <x:c r="E70" s="30" t="n">
        <x:f>IF(SUM(E59:E60)&gt;0,E50/SUM(E59:E60),"No debt")</x:f>
        <x:v>7.5775486437613075</x:v>
      </x:c>
      <x:c r="F70" s="30" t="n">
        <x:f>IF(SUM(F59:F60)&gt;0,F50/SUM(F59:F60),"No debt")</x:f>
        <x:v>8.039763736487718</x:v>
      </x:c>
      <x:c r="G70" s="30" t="n">
        <x:f>IF(SUM(G59:G60)&gt;0,G50/SUM(G59:G60),"No debt")</x:f>
        <x:v>8.51702607347913</x:v>
      </x:c>
      <x:c r="H70" s="30" t="n">
        <x:f>IF(SUM(H59:H60)&gt;0,H50/SUM(H59:H60),"No debt")</x:f>
        <x:v>9.00981288014003</x:v>
      </x:c>
      <x:c r="I70" s="30" t="n">
        <x:f>IF(SUM(I59:I60)&gt;0,I50/SUM(I59:I60),"No debt")</x:f>
        <x:v>9.518617528458917</x:v>
      </x:c>
      <x:c r="J70" s="30" t="n">
        <x:f>IF(SUM(J59:J60)&gt;0,J50/SUM(J59:J60),"No debt")</x:f>
        <x:v>10.043950140208873</x:v>
      </x:c>
      <x:c r="K70" s="30" t="n">
        <x:f>IF(SUM(K59:K60)&gt;0,K50/SUM(K59:K60),"No debt")</x:f>
        <x:v>10.58633821547943</x:v>
      </x:c>
      <x:c r="L70" s="30" t="n">
        <x:f>IF(SUM(L59:L60)&gt;0,L50/SUM(L59:L60),"No debt")</x:f>
        <x:v>11.146327287744514</x:v>
      </x:c>
      <x:c r="M70" s="30" t="n">
        <x:f>IF(SUM(M59:M60)&gt;0,M50/SUM(M59:M60),"No debt")</x:f>
        <x:v>11.724481606736447</x:v>
      </x:c>
      <x:c r="N70" s="30" t="n">
        <x:f>IF(SUM(N59:N60)&gt;0,N50/SUM(N59:N60),"No debt")</x:f>
        <x:v>12.321384850464348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</x:v>
      </x:c>
      <x:c r="D71" s="20" t="n">
        <x:f>IF($C$10&gt;0,D43/$C$10,0)</x:f>
        <x:v>0.612</x:v>
      </x:c>
      <x:c r="E71" s="20" t="n">
        <x:f>IF($C$10&gt;0,E43/$C$10,0)</x:f>
        <x:v>0.62424</x:v>
      </x:c>
      <x:c r="F71" s="20" t="n">
        <x:f>IF($C$10&gt;0,F43/$C$10,0)</x:f>
        <x:v>0.6367248</x:v>
      </x:c>
      <x:c r="G71" s="20" t="n">
        <x:f>IF($C$10&gt;0,G43/$C$10,0)</x:f>
        <x:v>0.649459296</x:v>
      </x:c>
      <x:c r="H71" s="20" t="n">
        <x:f>IF($C$10&gt;0,H43/$C$10,0)</x:f>
        <x:v>0.6624484819199999</x:v>
      </x:c>
      <x:c r="I71" s="20" t="n">
        <x:f>IF($C$10&gt;0,I43/$C$10,0)</x:f>
        <x:v>0.6756974515584</x:v>
      </x:c>
      <x:c r="J71" s="20" t="n">
        <x:f>IF($C$10&gt;0,J43/$C$10,0)</x:f>
        <x:v>0.6892114005895679</x:v>
      </x:c>
      <x:c r="K71" s="20" t="n">
        <x:f>IF($C$10&gt;0,K43/$C$10,0)</x:f>
        <x:v>0.7029956286013593</x:v>
      </x:c>
      <x:c r="L71" s="20" t="n">
        <x:f>IF($C$10&gt;0,L43/$C$10,0)</x:f>
        <x:v>0.7170555411733865</x:v>
      </x:c>
      <x:c r="M71" s="20" t="n">
        <x:f>IF($C$10&gt;0,M43/$C$10,0)</x:f>
        <x:v>0.7313966519968542</x:v>
      </x:c>
      <x:c r="N71" s="20" t="n">
        <x:f>IF($C$10&gt;0,N43/$C$10,0)</x:f>
        <x:v>0.7460245850367911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0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d802207b9c7c4639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E-commerce &amp; D2C Brand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2200</x:v>
      </x:c>
      <x:c r="D6" s="10" t="str">
        <x:v>retained orders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1980000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900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1386000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630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270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450000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594000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5000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144000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0.3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1666.6666666666667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650000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1499999.9999999998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200000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0.44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1100000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2150000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12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1350000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45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1584000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800000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364320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-85680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1980000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1300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26555937.661691982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2476784.2552878987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1582461.1934175065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-171233.33333333326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171233.33333333326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1271233.3333333333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2200</x:v>
      </x:c>
      <x:c r="D43" s="4" t="n">
        <x:f>MIN($C$10,$C$6*(1+$C$11)^1)</x:f>
        <x:v>2244</x:v>
      </x:c>
      <x:c r="E43" s="4" t="n">
        <x:f>MIN($C$10,$C$6*(1+$C$11)^2)</x:f>
        <x:v>2288.88</x:v>
      </x:c>
      <x:c r="F43" s="4" t="n">
        <x:f>MIN($C$10,$C$6*(1+$C$11)^3)</x:f>
        <x:v>2334.6576</x:v>
      </x:c>
      <x:c r="G43" s="4" t="n">
        <x:f>MIN($C$10,$C$6*(1+$C$11)^4)</x:f>
        <x:v>2381.350752</x:v>
      </x:c>
      <x:c r="H43" s="4" t="n">
        <x:f>MIN($C$10,$C$6*(1+$C$11)^5)</x:f>
        <x:v>2428.97776704</x:v>
      </x:c>
      <x:c r="I43" s="4" t="n">
        <x:f>MIN($C$10,$C$6*(1+$C$11)^6)</x:f>
        <x:v>2477.5573223808</x:v>
      </x:c>
      <x:c r="J43" s="4" t="n">
        <x:f>MIN($C$10,$C$6*(1+$C$11)^7)</x:f>
        <x:v>2527.1084688284154</x:v>
      </x:c>
      <x:c r="K43" s="4" t="n">
        <x:f>MIN($C$10,$C$6*(1+$C$11)^8)</x:f>
        <x:v>2577.6506382049843</x:v>
      </x:c>
      <x:c r="L43" s="4" t="n">
        <x:f>MIN($C$10,$C$6*(1+$C$11)^9)</x:f>
        <x:v>2629.203650969084</x:v>
      </x:c>
      <x:c r="M43" s="4" t="n">
        <x:f>MIN($C$10,$C$6*(1+$C$11)^10)</x:f>
        <x:v>2681.7877239884656</x:v>
      </x:c>
      <x:c r="N43" s="4" t="n">
        <x:f>MIN($C$10,$C$6*(1+$C$11)^11)</x:f>
        <x:v>2735.4234784682344</x:v>
      </x:c>
    </x:row>
    <x:row r="44" ht="31" customHeight="1">
      <x:c r="A44" s="10" t="str">
        <x:v>Net unit price</x:v>
      </x:c>
      <x:c r="B44" s="4"/>
      <x:c r="C44" s="4" t="n">
        <x:f>$C$7*(1+$C$34)^0</x:f>
        <x:v>900</x:v>
      </x:c>
      <x:c r="D44" s="4" t="n">
        <x:f>$C$7*(1+$C$34)^1</x:f>
        <x:v>900</x:v>
      </x:c>
      <x:c r="E44" s="4" t="n">
        <x:f>$C$7*(1+$C$34)^2</x:f>
        <x:v>900</x:v>
      </x:c>
      <x:c r="F44" s="4" t="n">
        <x:f>$C$7*(1+$C$34)^3</x:f>
        <x:v>900</x:v>
      </x:c>
      <x:c r="G44" s="4" t="n">
        <x:f>$C$7*(1+$C$34)^4</x:f>
        <x:v>900</x:v>
      </x:c>
      <x:c r="H44" s="4" t="n">
        <x:f>$C$7*(1+$C$34)^5</x:f>
        <x:v>900</x:v>
      </x:c>
      <x:c r="I44" s="4" t="n">
        <x:f>$C$7*(1+$C$34)^6</x:f>
        <x:v>900</x:v>
      </x:c>
      <x:c r="J44" s="4" t="n">
        <x:f>$C$7*(1+$C$34)^7</x:f>
        <x:v>900</x:v>
      </x:c>
      <x:c r="K44" s="4" t="n">
        <x:f>$C$7*(1+$C$34)^8</x:f>
        <x:v>900</x:v>
      </x:c>
      <x:c r="L44" s="4" t="n">
        <x:f>$C$7*(1+$C$34)^9</x:f>
        <x:v>900</x:v>
      </x:c>
      <x:c r="M44" s="4" t="n">
        <x:f>$C$7*(1+$C$34)^10</x:f>
        <x:v>900</x:v>
      </x:c>
      <x:c r="N44" s="4" t="n">
        <x:f>$C$7*(1+$C$34)^11</x:f>
        <x:v>900</x:v>
      </x:c>
    </x:row>
    <x:row r="45" ht="31" customHeight="1">
      <x:c r="A45" s="23" t="str">
        <x:v>Net revenue</x:v>
      </x:c>
      <x:c r="B45" s="22"/>
      <x:c r="C45" s="22" t="n">
        <x:f>C43*C44</x:f>
        <x:v>1980000</x:v>
      </x:c>
      <x:c r="D45" s="22" t="n">
        <x:f>D43*D44</x:f>
        <x:v>2019600</x:v>
      </x:c>
      <x:c r="E45" s="22" t="n">
        <x:f>E43*E44</x:f>
        <x:v>2059992</x:v>
      </x:c>
      <x:c r="F45" s="22" t="n">
        <x:f>F43*F44</x:f>
        <x:v>2101191.84</x:v>
      </x:c>
      <x:c r="G45" s="22" t="n">
        <x:f>G43*G44</x:f>
        <x:v>2143215.6768</x:v>
      </x:c>
      <x:c r="H45" s="22" t="n">
        <x:f>H43*H44</x:f>
        <x:v>2186079.990336</x:v>
      </x:c>
      <x:c r="I45" s="22" t="n">
        <x:f>I43*I44</x:f>
        <x:v>2229801.59014272</x:v>
      </x:c>
      <x:c r="J45" s="22" t="n">
        <x:f>J43*J44</x:f>
        <x:v>2274397.621945574</x:v>
      </x:c>
      <x:c r="K45" s="22" t="n">
        <x:f>K43*K44</x:f>
        <x:v>2319885.574384486</x:v>
      </x:c>
      <x:c r="L45" s="22" t="n">
        <x:f>L43*L44</x:f>
        <x:v>2366283.2858721754</x:v>
      </x:c>
      <x:c r="M45" s="22" t="n">
        <x:f>M43*M44</x:f>
        <x:v>2413608.951589619</x:v>
      </x:c>
      <x:c r="N45" s="22" t="n">
        <x:f>N43*N44</x:f>
        <x:v>2461881.130621411</x:v>
      </x:c>
    </x:row>
    <x:row r="46" ht="31" customHeight="1">
      <x:c r="A46" s="10" t="str">
        <x:v>Variable cost per unit</x:v>
      </x:c>
      <x:c r="B46" s="4"/>
      <x:c r="C46" s="4" t="n">
        <x:f>$C$8</x:f>
        <x:v>630</x:v>
      </x:c>
      <x:c r="D46" s="4" t="n">
        <x:f>$C$8</x:f>
        <x:v>630</x:v>
      </x:c>
      <x:c r="E46" s="4" t="n">
        <x:f>$C$8</x:f>
        <x:v>630</x:v>
      </x:c>
      <x:c r="F46" s="4" t="n">
        <x:f>$C$8</x:f>
        <x:v>630</x:v>
      </x:c>
      <x:c r="G46" s="4" t="n">
        <x:f>$C$8</x:f>
        <x:v>630</x:v>
      </x:c>
      <x:c r="H46" s="4" t="n">
        <x:f>$C$8</x:f>
        <x:v>630</x:v>
      </x:c>
      <x:c r="I46" s="4" t="n">
        <x:f>$C$8</x:f>
        <x:v>630</x:v>
      </x:c>
      <x:c r="J46" s="4" t="n">
        <x:f>$C$8</x:f>
        <x:v>630</x:v>
      </x:c>
      <x:c r="K46" s="4" t="n">
        <x:f>$C$8</x:f>
        <x:v>630</x:v>
      </x:c>
      <x:c r="L46" s="4" t="n">
        <x:f>$C$8</x:f>
        <x:v>630</x:v>
      </x:c>
      <x:c r="M46" s="4" t="n">
        <x:f>$C$8</x:f>
        <x:v>630</x:v>
      </x:c>
      <x:c r="N46" s="4" t="n">
        <x:f>$C$8</x:f>
        <x:v>630</x:v>
      </x:c>
    </x:row>
    <x:row r="47" ht="31" customHeight="1">
      <x:c r="A47" s="10" t="str">
        <x:v>Variable cash cost</x:v>
      </x:c>
      <x:c r="B47" s="4"/>
      <x:c r="C47" s="4" t="n">
        <x:f>C43*C46</x:f>
        <x:v>1386000</x:v>
      </x:c>
      <x:c r="D47" s="4" t="n">
        <x:f>D43*D46</x:f>
        <x:v>1413720</x:v>
      </x:c>
      <x:c r="E47" s="4" t="n">
        <x:f>E43*E46</x:f>
        <x:v>1441994.4000000001</x:v>
      </x:c>
      <x:c r="F47" s="4" t="n">
        <x:f>F43*F46</x:f>
        <x:v>1470834.288</x:v>
      </x:c>
      <x:c r="G47" s="4" t="n">
        <x:f>G43*G46</x:f>
        <x:v>1500250.97376</x:v>
      </x:c>
      <x:c r="H47" s="4" t="n">
        <x:f>H43*H46</x:f>
        <x:v>1530255.9932352</x:v>
      </x:c>
      <x:c r="I47" s="4" t="n">
        <x:f>I43*I46</x:f>
        <x:v>1560861.113099904</x:v>
      </x:c>
      <x:c r="J47" s="4" t="n">
        <x:f>J43*J46</x:f>
        <x:v>1592078.3353619017</x:v>
      </x:c>
      <x:c r="K47" s="4" t="n">
        <x:f>K43*K46</x:f>
        <x:v>1623919.90206914</x:v>
      </x:c>
      <x:c r="L47" s="4" t="n">
        <x:f>L43*L46</x:f>
        <x:v>1656398.300110523</x:v>
      </x:c>
      <x:c r="M47" s="4" t="n">
        <x:f>M43*M46</x:f>
        <x:v>1689526.2661127334</x:v>
      </x:c>
      <x:c r="N47" s="4" t="n">
        <x:f>N43*N46</x:f>
        <x:v>1723316.7914349877</x:v>
      </x:c>
    </x:row>
    <x:row r="48" ht="31" customHeight="1">
      <x:c r="A48" s="10" t="str">
        <x:v>Contribution</x:v>
      </x:c>
      <x:c r="B48" s="4"/>
      <x:c r="C48" s="4" t="n">
        <x:f>C45-C47</x:f>
        <x:v>594000</x:v>
      </x:c>
      <x:c r="D48" s="4" t="n">
        <x:f>D45-D47</x:f>
        <x:v>605880</x:v>
      </x:c>
      <x:c r="E48" s="4" t="n">
        <x:f>E45-E47</x:f>
        <x:v>617997.5999999999</x:v>
      </x:c>
      <x:c r="F48" s="4" t="n">
        <x:f>F45-F47</x:f>
        <x:v>630357.5519999999</x:v>
      </x:c>
      <x:c r="G48" s="4" t="n">
        <x:f>G45-G47</x:f>
        <x:v>642964.70304</x:v>
      </x:c>
      <x:c r="H48" s="4" t="n">
        <x:f>H45-H47</x:f>
        <x:v>655823.9971008</x:v>
      </x:c>
      <x:c r="I48" s="4" t="n">
        <x:f>I45-I47</x:f>
        <x:v>668940.4770428159</x:v>
      </x:c>
      <x:c r="J48" s="4" t="n">
        <x:f>J45-J47</x:f>
        <x:v>682319.2865836723</x:v>
      </x:c>
      <x:c r="K48" s="4" t="n">
        <x:f>K45-K47</x:f>
        <x:v>695965.6723153458</x:v>
      </x:c>
      <x:c r="L48" s="4" t="n">
        <x:f>L45-L47</x:f>
        <x:v>709884.9857616525</x:v>
      </x:c>
      <x:c r="M48" s="4" t="n">
        <x:f>M45-M47</x:f>
        <x:v>724082.6854768854</x:v>
      </x:c>
      <x:c r="N48" s="4" t="n">
        <x:f>N45-N47</x:f>
        <x:v>738564.3391864232</x:v>
      </x:c>
    </x:row>
    <x:row r="49" ht="31" customHeight="1">
      <x:c r="A49" s="10" t="str">
        <x:v>Fixed cash costs</x:v>
      </x:c>
      <x:c r="B49" s="4"/>
      <x:c r="C49" s="4" t="n">
        <x:f>$C$9*(1+$C$12)^0</x:f>
        <x:v>450000</x:v>
      </x:c>
      <x:c r="D49" s="4" t="n">
        <x:f>$C$9*(1+$C$12)^1</x:f>
        <x:v>451349.99999999994</x:v>
      </x:c>
      <x:c r="E49" s="4" t="n">
        <x:f>$C$9*(1+$C$12)^2</x:f>
        <x:v>452704.0499999999</x:v>
      </x:c>
      <x:c r="F49" s="4" t="n">
        <x:f>$C$9*(1+$C$12)^3</x:f>
        <x:v>454062.1621499999</x:v>
      </x:c>
      <x:c r="G49" s="4" t="n">
        <x:f>$C$9*(1+$C$12)^4</x:f>
        <x:v>455424.3486364498</x:v>
      </x:c>
      <x:c r="H49" s="4" t="n">
        <x:f>$C$9*(1+$C$12)^5</x:f>
        <x:v>456790.62168235914</x:v>
      </x:c>
      <x:c r="I49" s="4" t="n">
        <x:f>$C$9*(1+$C$12)^6</x:f>
        <x:v>458160.99354740605</x:v>
      </x:c>
      <x:c r="J49" s="4" t="n">
        <x:f>$C$9*(1+$C$12)^7</x:f>
        <x:v>459535.4765280482</x:v>
      </x:c>
      <x:c r="K49" s="4" t="n">
        <x:f>$C$9*(1+$C$12)^8</x:f>
        <x:v>460914.0829576323</x:v>
      </x:c>
      <x:c r="L49" s="4" t="n">
        <x:f>$C$9*(1+$C$12)^9</x:f>
        <x:v>462296.82520650513</x:v>
      </x:c>
      <x:c r="M49" s="4" t="n">
        <x:f>$C$9*(1+$C$12)^10</x:f>
        <x:v>463683.7156821246</x:v>
      </x:c>
      <x:c r="N49" s="4" t="n">
        <x:f>$C$9*(1+$C$12)^11</x:f>
        <x:v>465074.766829171</x:v>
      </x:c>
    </x:row>
    <x:row r="50" ht="31" customHeight="1">
      <x:c r="A50" s="23" t="str">
        <x:v>Operating cash profit (EBITDA)</x:v>
      </x:c>
      <x:c r="B50" s="22"/>
      <x:c r="C50" s="22" t="n">
        <x:f>C48-C49</x:f>
        <x:v>144000</x:v>
      </x:c>
      <x:c r="D50" s="22" t="n">
        <x:f>D48-D49</x:f>
        <x:v>154530.00000000006</x:v>
      </x:c>
      <x:c r="E50" s="22" t="n">
        <x:f>E48-E49</x:f>
        <x:v>165293.55</x:v>
      </x:c>
      <x:c r="F50" s="22" t="n">
        <x:f>F48-F49</x:f>
        <x:v>176295.38985000004</x:v>
      </x:c>
      <x:c r="G50" s="22" t="n">
        <x:f>G48-G49</x:f>
        <x:v>187540.35440355027</x:v>
      </x:c>
      <x:c r="H50" s="22" t="n">
        <x:f>H48-H49</x:f>
        <x:v>199033.3754184409</x:v>
      </x:c>
      <x:c r="I50" s="22" t="n">
        <x:f>I48-I49</x:f>
        <x:v>210779.48349540983</x:v>
      </x:c>
      <x:c r="J50" s="22" t="n">
        <x:f>J48-J49</x:f>
        <x:v>222783.81005562405</x:v>
      </x:c>
      <x:c r="K50" s="22" t="n">
        <x:f>K48-K49</x:f>
        <x:v>235051.58935771353</x:v>
      </x:c>
      <x:c r="L50" s="22" t="n">
        <x:f>L48-L49</x:f>
        <x:v>247588.16055514733</x:v>
      </x:c>
      <x:c r="M50" s="22" t="n">
        <x:f>M48-M49</x:f>
        <x:v>260398.9697947608</x:v>
      </x:c>
      <x:c r="N50" s="22" t="n">
        <x:f>N48-N49</x:f>
        <x:v>273489.57235725224</x:v>
      </x:c>
    </x:row>
    <x:row r="51" ht="31" customHeight="1">
      <x:c r="A51" s="10" t="str">
        <x:v>Planning depreciation</x:v>
      </x:c>
      <x:c r="B51" s="4"/>
      <x:c r="C51" s="4" t="n">
        <x:f>$C$13/$C$33/$C$30</x:f>
        <x:v>10833.333333333334</x:v>
      </x:c>
      <x:c r="D51" s="4" t="n">
        <x:f>$C$13/$C$33/$C$30</x:f>
        <x:v>10833.333333333334</x:v>
      </x:c>
      <x:c r="E51" s="4" t="n">
        <x:f>$C$13/$C$33/$C$30</x:f>
        <x:v>10833.333333333334</x:v>
      </x:c>
      <x:c r="F51" s="4" t="n">
        <x:f>$C$13/$C$33/$C$30</x:f>
        <x:v>10833.333333333334</x:v>
      </x:c>
      <x:c r="G51" s="4" t="n">
        <x:f>$C$13/$C$33/$C$30</x:f>
        <x:v>10833.333333333334</x:v>
      </x:c>
      <x:c r="H51" s="4" t="n">
        <x:f>$C$13/$C$33/$C$30</x:f>
        <x:v>10833.333333333334</x:v>
      </x:c>
      <x:c r="I51" s="4" t="n">
        <x:f>$C$13/$C$33/$C$30</x:f>
        <x:v>10833.333333333334</x:v>
      </x:c>
      <x:c r="J51" s="4" t="n">
        <x:f>$C$13/$C$33/$C$30</x:f>
        <x:v>10833.333333333334</x:v>
      </x:c>
      <x:c r="K51" s="4" t="n">
        <x:f>$C$13/$C$33/$C$30</x:f>
        <x:v>10833.333333333334</x:v>
      </x:c>
      <x:c r="L51" s="4" t="n">
        <x:f>$C$13/$C$33/$C$30</x:f>
        <x:v>10833.333333333334</x:v>
      </x:c>
      <x:c r="M51" s="4" t="n">
        <x:f>$C$13/$C$33/$C$30</x:f>
        <x:v>10833.333333333334</x:v>
      </x:c>
      <x:c r="N51" s="4" t="n">
        <x:f>$C$13/$C$33/$C$30</x:f>
        <x:v>10833.333333333334</x:v>
      </x:c>
    </x:row>
    <x:row r="52" ht="31" customHeight="1">
      <x:c r="A52" s="10" t="str">
        <x:v>Operating profit (EBIT)</x:v>
      </x:c>
      <x:c r="B52" s="4"/>
      <x:c r="C52" s="4" t="n">
        <x:f>C50-C51</x:f>
        <x:v>133166.66666666666</x:v>
      </x:c>
      <x:c r="D52" s="4" t="n">
        <x:f>D50-D51</x:f>
        <x:v>143696.66666666672</x:v>
      </x:c>
      <x:c r="E52" s="4" t="n">
        <x:f>E50-E51</x:f>
        <x:v>154460.21666666665</x:v>
      </x:c>
      <x:c r="F52" s="4" t="n">
        <x:f>F50-F51</x:f>
        <x:v>165462.0565166667</x:v>
      </x:c>
      <x:c r="G52" s="4" t="n">
        <x:f>G50-G51</x:f>
        <x:v>176707.02107021693</x:v>
      </x:c>
      <x:c r="H52" s="4" t="n">
        <x:f>H50-H51</x:f>
        <x:v>188200.04208510756</x:v>
      </x:c>
      <x:c r="I52" s="4" t="n">
        <x:f>I50-I51</x:f>
        <x:v>199946.1501620765</x:v>
      </x:c>
      <x:c r="J52" s="4" t="n">
        <x:f>J50-J51</x:f>
        <x:v>211950.4767222907</x:v>
      </x:c>
      <x:c r="K52" s="4" t="n">
        <x:f>K50-K51</x:f>
        <x:v>224218.25602438019</x:v>
      </x:c>
      <x:c r="L52" s="4" t="n">
        <x:f>L50-L51</x:f>
        <x:v>236754.827221814</x:v>
      </x:c>
      <x:c r="M52" s="4" t="n">
        <x:f>M50-M51</x:f>
        <x:v>249565.63646142746</x:v>
      </x:c>
      <x:c r="N52" s="4" t="n">
        <x:f>N50-N51</x:f>
        <x:v>262656.2390239189</x:v>
      </x:c>
    </x:row>
    <x:row r="53" ht="31" customHeight="1">
      <x:c r="A53" s="10" t="str">
        <x:v>Receivables</x:v>
      </x:c>
      <x:c r="B53" s="4"/>
      <x:c r="C53" s="4" t="n">
        <x:f>C45*$C$16/$C$29</x:f>
        <x:v>792000</x:v>
      </x:c>
      <x:c r="D53" s="4" t="n">
        <x:f>D45*$C$16/$C$29</x:f>
        <x:v>807840</x:v>
      </x:c>
      <x:c r="E53" s="4" t="n">
        <x:f>E45*$C$16/$C$29</x:f>
        <x:v>823996.8</x:v>
      </x:c>
      <x:c r="F53" s="4" t="n">
        <x:f>F45*$C$16/$C$29</x:f>
        <x:v>840476.7359999999</x:v>
      </x:c>
      <x:c r="G53" s="4" t="n">
        <x:f>G45*$C$16/$C$29</x:f>
        <x:v>857286.27072</x:v>
      </x:c>
      <x:c r="H53" s="4" t="n">
        <x:f>H45*$C$16/$C$29</x:f>
        <x:v>874431.9961344</x:v>
      </x:c>
      <x:c r="I53" s="4" t="n">
        <x:f>I45*$C$16/$C$29</x:f>
        <x:v>891920.636057088</x:v>
      </x:c>
      <x:c r="J53" s="4" t="n">
        <x:f>J45*$C$16/$C$29</x:f>
        <x:v>909759.0487782296</x:v>
      </x:c>
      <x:c r="K53" s="4" t="n">
        <x:f>K45*$C$16/$C$29</x:f>
        <x:v>927954.2297537943</x:v>
      </x:c>
      <x:c r="L53" s="4" t="n">
        <x:f>L45*$C$16/$C$29</x:f>
        <x:v>946513.3143488702</x:v>
      </x:c>
      <x:c r="M53" s="4" t="n">
        <x:f>M45*$C$16/$C$29</x:f>
        <x:v>965443.5806358475</x:v>
      </x:c>
      <x:c r="N53" s="4" t="n">
        <x:f>N45*$C$16/$C$29</x:f>
        <x:v>984752.4522485643</x:v>
      </x:c>
    </x:row>
    <x:row r="54" ht="31" customHeight="1">
      <x:c r="A54" s="10" t="str">
        <x:v>Own inventory</x:v>
      </x:c>
      <x:c r="B54" s="4"/>
      <x:c r="C54" s="4" t="n">
        <x:f>C47*$C$31*$C$17/$C$29</x:f>
        <x:v>1247400</x:v>
      </x:c>
      <x:c r="D54" s="4" t="n">
        <x:f>D47*$C$31*$C$17/$C$29</x:f>
        <x:v>1272348</x:v>
      </x:c>
      <x:c r="E54" s="4" t="n">
        <x:f>E47*$C$31*$C$17/$C$29</x:f>
        <x:v>1297794.96</x:v>
      </x:c>
      <x:c r="F54" s="4" t="n">
        <x:f>F47*$C$31*$C$17/$C$29</x:f>
        <x:v>1323750.8592</x:v>
      </x:c>
      <x:c r="G54" s="4" t="n">
        <x:f>G47*$C$31*$C$17/$C$29</x:f>
        <x:v>1350225.876384</x:v>
      </x:c>
      <x:c r="H54" s="4" t="n">
        <x:f>H47*$C$31*$C$17/$C$29</x:f>
        <x:v>1377230.3939116797</x:v>
      </x:c>
      <x:c r="I54" s="4" t="n">
        <x:f>I47*$C$31*$C$17/$C$29</x:f>
        <x:v>1404775.0017899135</x:v>
      </x:c>
      <x:c r="J54" s="4" t="n">
        <x:f>J47*$C$31*$C$17/$C$29</x:f>
        <x:v>1432870.5018257115</x:v>
      </x:c>
      <x:c r="K54" s="4" t="n">
        <x:f>K47*$C$31*$C$17/$C$29</x:f>
        <x:v>1461527.9118622257</x:v>
      </x:c>
      <x:c r="L54" s="4" t="n">
        <x:f>L47*$C$31*$C$17/$C$29</x:f>
        <x:v>1490758.4700994706</x:v>
      </x:c>
      <x:c r="M54" s="4" t="n">
        <x:f>M47*$C$31*$C$17/$C$29</x:f>
        <x:v>1520573.63950146</x:v>
      </x:c>
      <x:c r="N54" s="4" t="n">
        <x:f>N47*$C$31*$C$17/$C$29</x:f>
        <x:v>1550985.1122914888</x:v>
      </x:c>
    </x:row>
    <x:row r="55" ht="31" customHeight="1">
      <x:c r="A55" s="10" t="str">
        <x:v>Supplier payables</x:v>
      </x:c>
      <x:c r="B55" s="4"/>
      <x:c r="C55" s="4" t="n">
        <x:f>C47*$C$32*$C$18/$C$29</x:f>
        <x:v>646799.9999999999</x:v>
      </x:c>
      <x:c r="D55" s="4" t="n">
        <x:f>D47*$C$32*$C$18/$C$29</x:f>
        <x:v>659735.9999999999</x:v>
      </x:c>
      <x:c r="E55" s="4" t="n">
        <x:f>E47*$C$32*$C$18/$C$29</x:f>
        <x:v>672930.7200000001</x:v>
      </x:c>
      <x:c r="F55" s="4" t="n">
        <x:f>F47*$C$32*$C$18/$C$29</x:f>
        <x:v>686389.3343999999</x:v>
      </x:c>
      <x:c r="G55" s="4" t="n">
        <x:f>G47*$C$32*$C$18/$C$29</x:f>
        <x:v>700117.121088</x:v>
      </x:c>
      <x:c r="H55" s="4" t="n">
        <x:f>H47*$C$32*$C$18/$C$29</x:f>
        <x:v>714119.4635097597</x:v>
      </x:c>
      <x:c r="I55" s="4" t="n">
        <x:f>I47*$C$32*$C$18/$C$29</x:f>
        <x:v>728401.8527799551</x:v>
      </x:c>
      <x:c r="J55" s="4" t="n">
        <x:f>J47*$C$32*$C$18/$C$29</x:f>
        <x:v>742969.889835554</x:v>
      </x:c>
      <x:c r="K55" s="4" t="n">
        <x:f>K47*$C$32*$C$18/$C$29</x:f>
        <x:v>757829.2876322654</x:v>
      </x:c>
      <x:c r="L55" s="4" t="n">
        <x:f>L47*$C$32*$C$18/$C$29</x:f>
        <x:v>772985.8733849105</x:v>
      </x:c>
      <x:c r="M55" s="4" t="n">
        <x:f>M47*$C$32*$C$18/$C$29</x:f>
        <x:v>788445.5908526089</x:v>
      </x:c>
      <x:c r="N55" s="4" t="n">
        <x:f>N47*$C$32*$C$18/$C$29</x:f>
        <x:v>804214.5026696608</x:v>
      </x:c>
    </x:row>
    <x:row r="56" ht="31" customHeight="1">
      <x:c r="A56" s="23" t="str">
        <x:v>Net working capital</x:v>
      </x:c>
      <x:c r="B56" s="22"/>
      <x:c r="C56" s="22" t="n">
        <x:f>C53+C54-C55</x:f>
        <x:v>1392600</x:v>
      </x:c>
      <x:c r="D56" s="22" t="n">
        <x:f>D53+D54-D55</x:f>
        <x:v>1420452</x:v>
      </x:c>
      <x:c r="E56" s="22" t="n">
        <x:f>E53+E54-E55</x:f>
        <x:v>1448861.0399999996</x:v>
      </x:c>
      <x:c r="F56" s="22" t="n">
        <x:f>F53+F54-F55</x:f>
        <x:v>1477838.2607999998</x:v>
      </x:c>
      <x:c r="G56" s="22" t="n">
        <x:f>G53+G54-G55</x:f>
        <x:v>1507395.0260160002</x:v>
      </x:c>
      <x:c r="H56" s="22" t="n">
        <x:f>H53+H54-H55</x:f>
        <x:v>1537542.9265363198</x:v>
      </x:c>
      <x:c r="I56" s="22" t="n">
        <x:f>I53+I54-I55</x:f>
        <x:v>1568293.7850670465</x:v>
      </x:c>
      <x:c r="J56" s="22" t="n">
        <x:f>J53+J54-J55</x:f>
        <x:v>1599659.6607683871</x:v>
      </x:c>
      <x:c r="K56" s="22" t="n">
        <x:f>K53+K54-K55</x:f>
        <x:v>1631652.8539837545</x:v>
      </x:c>
      <x:c r="L56" s="22" t="n">
        <x:f>L53+L54-L55</x:f>
        <x:v>1664285.91106343</x:v>
      </x:c>
      <x:c r="M56" s="22" t="n">
        <x:f>M53+M54-M55</x:f>
        <x:v>1697571.6292846985</x:v>
      </x:c>
      <x:c r="N56" s="22" t="n">
        <x:f>N53+N54-N55</x:f>
        <x:v>1731523.0618703924</x:v>
      </x:c>
    </x:row>
    <x:row r="57" ht="31" customHeight="1">
      <x:c r="A57" s="10" t="str">
        <x:v>Increase in working capital</x:v>
      </x:c>
      <x:c r="B57" s="4"/>
      <x:c r="C57" s="4" t="n">
        <x:f>C56</x:f>
        <x:v>1392600</x:v>
      </x:c>
      <x:c r="D57" s="4" t="n">
        <x:f>D56-C56</x:f>
        <x:v>27852</x:v>
      </x:c>
      <x:c r="E57" s="4" t="n">
        <x:f>E56-D56</x:f>
        <x:v>28409.03999999957</x:v>
      </x:c>
      <x:c r="F57" s="4" t="n">
        <x:f>F56-E56</x:f>
        <x:v>28977.220800000243</x:v>
      </x:c>
      <x:c r="G57" s="4" t="n">
        <x:f>G56-F56</x:f>
        <x:v>29556.765216000378</x:v>
      </x:c>
      <x:c r="H57" s="4" t="n">
        <x:f>H56-G56</x:f>
        <x:v>30147.900520319585</x:v>
      </x:c>
      <x:c r="I57" s="4" t="n">
        <x:f>I56-H56</x:f>
        <x:v>30750.85853072675</x:v>
      </x:c>
      <x:c r="J57" s="4" t="n">
        <x:f>J56-I56</x:f>
        <x:v>31365.875701340614</x:v>
      </x:c>
      <x:c r="K57" s="4" t="n">
        <x:f>K56-J56</x:f>
        <x:v>31993.193215367384</x:v>
      </x:c>
      <x:c r="L57" s="4" t="n">
        <x:f>L56-K56</x:f>
        <x:v>32633.057079675375</x:v>
      </x:c>
      <x:c r="M57" s="4" t="n">
        <x:f>M56-L56</x:f>
        <x:v>33285.71822126862</x:v>
      </x:c>
      <x:c r="N57" s="4" t="n">
        <x:f>N56-M56</x:f>
        <x:v>33951.432585693896</x:v>
      </x:c>
    </x:row>
    <x:row r="58" ht="31" customHeight="1">
      <x:c r="A58" s="10" t="str">
        <x:v>Opening debt</x:v>
      </x:c>
      <x:c r="B58" s="4"/>
      <x:c r="C58" s="4" t="n">
        <x:f>$C$19</x:f>
        <x:v>800000</x:v>
      </x:c>
      <x:c r="D58" s="4" t="n">
        <x:f>C61</x:f>
        <x:v>786666.6666666666</x:v>
      </x:c>
      <x:c r="E58" s="4" t="n">
        <x:f>D61</x:f>
        <x:v>773333.3333333333</x:v>
      </x:c>
      <x:c r="F58" s="4" t="n">
        <x:f>E61</x:f>
        <x:v>759999.9999999999</x:v>
      </x:c>
      <x:c r="G58" s="4" t="n">
        <x:f>F61</x:f>
        <x:v>746666.6666666665</x:v>
      </x:c>
      <x:c r="H58" s="4" t="n">
        <x:f>G61</x:f>
        <x:v>733333.3333333331</x:v>
      </x:c>
      <x:c r="I58" s="4" t="n">
        <x:f>H61</x:f>
        <x:v>719999.9999999998</x:v>
      </x:c>
      <x:c r="J58" s="4" t="n">
        <x:f>I61</x:f>
        <x:v>706666.6666666664</x:v>
      </x:c>
      <x:c r="K58" s="4" t="n">
        <x:f>J61</x:f>
        <x:v>693333.333333333</x:v>
      </x:c>
      <x:c r="L58" s="4" t="n">
        <x:f>K61</x:f>
        <x:v>679999.9999999997</x:v>
      </x:c>
      <x:c r="M58" s="4" t="n">
        <x:f>L61</x:f>
        <x:v>666666.6666666663</x:v>
      </x:c>
      <x:c r="N58" s="4" t="n">
        <x:f>M61</x:f>
        <x:v>653333.3333333329</x:v>
      </x:c>
    </x:row>
    <x:row r="59" ht="31" customHeight="1">
      <x:c r="A59" s="10" t="str">
        <x:v>Interest cash</x:v>
      </x:c>
      <x:c r="B59" s="4"/>
      <x:c r="C59" s="4" t="n">
        <x:f>C58*$C$20/$C$30</x:f>
        <x:v>8000</x:v>
      </x:c>
      <x:c r="D59" s="4" t="n">
        <x:f>D58*$C$20/$C$30</x:f>
        <x:v>7866.666666666665</x:v>
      </x:c>
      <x:c r="E59" s="4" t="n">
        <x:f>E58*$C$20/$C$30</x:f>
        <x:v>7733.333333333332</x:v>
      </x:c>
      <x:c r="F59" s="4" t="n">
        <x:f>F58*$C$20/$C$30</x:f>
        <x:v>7599.999999999999</x:v>
      </x:c>
      <x:c r="G59" s="4" t="n">
        <x:f>G58*$C$20/$C$30</x:f>
        <x:v>7466.666666666664</x:v>
      </x:c>
      <x:c r="H59" s="4" t="n">
        <x:f>H58*$C$20/$C$30</x:f>
        <x:v>7333.333333333331</x:v>
      </x:c>
      <x:c r="I59" s="4" t="n">
        <x:f>I58*$C$20/$C$30</x:f>
        <x:v>7199.999999999997</x:v>
      </x:c>
      <x:c r="J59" s="4" t="n">
        <x:f>J58*$C$20/$C$30</x:f>
        <x:v>7066.666666666664</x:v>
      </x:c>
      <x:c r="K59" s="4" t="n">
        <x:f>K58*$C$20/$C$30</x:f>
        <x:v>6933.333333333329</x:v>
      </x:c>
      <x:c r="L59" s="4" t="n">
        <x:f>L58*$C$20/$C$30</x:f>
        <x:v>6799.999999999996</x:v>
      </x:c>
      <x:c r="M59" s="4" t="n">
        <x:f>M58*$C$20/$C$30</x:f>
        <x:v>6666.666666666663</x:v>
      </x:c>
      <x:c r="N59" s="4" t="n">
        <x:f>N58*$C$20/$C$30</x:f>
        <x:v>6533.3333333333285</x:v>
      </x:c>
    </x:row>
    <x:row r="60" ht="31" customHeight="1">
      <x:c r="A60" s="10" t="str">
        <x:v>Principal repayment</x:v>
      </x:c>
      <x:c r="B60" s="4"/>
      <x:c r="C60" s="4" t="n">
        <x:f>MIN(C58,$C$19/$C$21)</x:f>
        <x:v>13333.333333333334</x:v>
      </x:c>
      <x:c r="D60" s="4" t="n">
        <x:f>MIN(D58,$C$19/$C$21)</x:f>
        <x:v>13333.333333333334</x:v>
      </x:c>
      <x:c r="E60" s="4" t="n">
        <x:f>MIN(E58,$C$19/$C$21)</x:f>
        <x:v>13333.333333333334</x:v>
      </x:c>
      <x:c r="F60" s="4" t="n">
        <x:f>MIN(F58,$C$19/$C$21)</x:f>
        <x:v>13333.333333333334</x:v>
      </x:c>
      <x:c r="G60" s="4" t="n">
        <x:f>MIN(G58,$C$19/$C$21)</x:f>
        <x:v>13333.333333333334</x:v>
      </x:c>
      <x:c r="H60" s="4" t="n">
        <x:f>MIN(H58,$C$19/$C$21)</x:f>
        <x:v>13333.333333333334</x:v>
      </x:c>
      <x:c r="I60" s="4" t="n">
        <x:f>MIN(I58,$C$19/$C$21)</x:f>
        <x:v>13333.333333333334</x:v>
      </x:c>
      <x:c r="J60" s="4" t="n">
        <x:f>MIN(J58,$C$19/$C$21)</x:f>
        <x:v>13333.333333333334</x:v>
      </x:c>
      <x:c r="K60" s="4" t="n">
        <x:f>MIN(K58,$C$19/$C$21)</x:f>
        <x:v>13333.333333333334</x:v>
      </x:c>
      <x:c r="L60" s="4" t="n">
        <x:f>MIN(L58,$C$19/$C$21)</x:f>
        <x:v>13333.333333333334</x:v>
      </x:c>
      <x:c r="M60" s="4" t="n">
        <x:f>MIN(M58,$C$19/$C$21)</x:f>
        <x:v>13333.333333333334</x:v>
      </x:c>
      <x:c r="N60" s="4" t="n">
        <x:f>MIN(N58,$C$19/$C$21)</x:f>
        <x:v>13333.333333333334</x:v>
      </x:c>
    </x:row>
    <x:row r="61" ht="31" customHeight="1">
      <x:c r="A61" s="10" t="str">
        <x:v>Closing debt</x:v>
      </x:c>
      <x:c r="B61" s="4"/>
      <x:c r="C61" s="4" t="n">
        <x:f>C58-C60</x:f>
        <x:v>786666.6666666666</x:v>
      </x:c>
      <x:c r="D61" s="4" t="n">
        <x:f>D58-D60</x:f>
        <x:v>773333.3333333333</x:v>
      </x:c>
      <x:c r="E61" s="4" t="n">
        <x:f>E58-E60</x:f>
        <x:v>759999.9999999999</x:v>
      </x:c>
      <x:c r="F61" s="4" t="n">
        <x:f>F58-F60</x:f>
        <x:v>746666.6666666665</x:v>
      </x:c>
      <x:c r="G61" s="4" t="n">
        <x:f>G58-G60</x:f>
        <x:v>733333.3333333331</x:v>
      </x:c>
      <x:c r="H61" s="4" t="n">
        <x:f>H58-H60</x:f>
        <x:v>719999.9999999998</x:v>
      </x:c>
      <x:c r="I61" s="4" t="n">
        <x:f>I58-I60</x:f>
        <x:v>706666.6666666664</x:v>
      </x:c>
      <x:c r="J61" s="4" t="n">
        <x:f>J58-J60</x:f>
        <x:v>693333.333333333</x:v>
      </x:c>
      <x:c r="K61" s="4" t="n">
        <x:f>K58-K60</x:f>
        <x:v>679999.9999999997</x:v>
      </x:c>
      <x:c r="L61" s="4" t="n">
        <x:f>L58-L60</x:f>
        <x:v>666666.6666666663</x:v>
      </x:c>
      <x:c r="M61" s="4" t="n">
        <x:f>M58-M60</x:f>
        <x:v>653333.3333333329</x:v>
      </x:c>
      <x:c r="N61" s="4" t="n">
        <x:f>N58-N60</x:f>
        <x:v>639999.9999999995</x:v>
      </x:c>
    </x:row>
    <x:row r="62" ht="31" customHeight="1">
      <x:c r="A62" s="10" t="str">
        <x:v>Maintenance capital spend</x:v>
      </x:c>
      <x:c r="B62" s="4"/>
      <x:c r="C62" s="4" t="n">
        <x:f>$C$22</x:f>
        <x:v>1300</x:v>
      </x:c>
      <x:c r="D62" s="4" t="n">
        <x:f>$C$22</x:f>
        <x:v>1300</x:v>
      </x:c>
      <x:c r="E62" s="4" t="n">
        <x:f>$C$22</x:f>
        <x:v>1300</x:v>
      </x:c>
      <x:c r="F62" s="4" t="n">
        <x:f>$C$22</x:f>
        <x:v>1300</x:v>
      </x:c>
      <x:c r="G62" s="4" t="n">
        <x:f>$C$22</x:f>
        <x:v>1300</x:v>
      </x:c>
      <x:c r="H62" s="4" t="n">
        <x:f>$C$22</x:f>
        <x:v>1300</x:v>
      </x:c>
      <x:c r="I62" s="4" t="n">
        <x:f>$C$22</x:f>
        <x:v>1300</x:v>
      </x:c>
      <x:c r="J62" s="4" t="n">
        <x:f>$C$22</x:f>
        <x:v>1300</x:v>
      </x:c>
      <x:c r="K62" s="4" t="n">
        <x:f>$C$22</x:f>
        <x:v>1300</x:v>
      </x:c>
      <x:c r="L62" s="4" t="n">
        <x:f>$C$22</x:f>
        <x:v>1300</x:v>
      </x:c>
      <x:c r="M62" s="4" t="n">
        <x:f>$C$22</x:f>
        <x:v>1300</x:v>
      </x:c>
      <x:c r="N62" s="4" t="n">
        <x:f>$C$22</x:f>
        <x:v>1300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-1271233.3333333333</x:v>
      </x:c>
      <x:c r="D66" s="22" t="n">
        <x:f>D50-D57-SUM(D59:D60)-SUM(D62:D65)</x:f>
        <x:v>104178.00000000006</x:v>
      </x:c>
      <x:c r="E66" s="22" t="n">
        <x:f>E50-E57-SUM(E59:E60)-SUM(E62:E65)</x:f>
        <x:v>114517.84333333376</x:v>
      </x:c>
      <x:c r="F66" s="22" t="n">
        <x:f>F50-F57-SUM(F59:F60)-SUM(F62:F65)</x:f>
        <x:v>125084.83571666646</x:v>
      </x:c>
      <x:c r="G66" s="22" t="n">
        <x:f>G50-G57-SUM(G59:G60)-SUM(G62:G65)</x:f>
        <x:v>135883.5891875499</x:v>
      </x:c>
      <x:c r="H66" s="22" t="n">
        <x:f>H50-H57-SUM(H59:H60)-SUM(H62:H65)</x:f>
        <x:v>146918.80823145466</x:v>
      </x:c>
      <x:c r="I66" s="22" t="n">
        <x:f>I50-I57-SUM(I59:I60)-SUM(I62:I65)</x:f>
        <x:v>158195.29163134974</x:v>
      </x:c>
      <x:c r="J66" s="22" t="n">
        <x:f>J50-J57-SUM(J59:J60)-SUM(J62:J65)</x:f>
        <x:v>169717.93435428344</x:v>
      </x:c>
      <x:c r="K66" s="22" t="n">
        <x:f>K50-K57-SUM(K59:K60)-SUM(K62:K65)</x:f>
        <x:v>181491.7294756795</x:v>
      </x:c>
      <x:c r="L66" s="22" t="n">
        <x:f>L50-L57-SUM(L59:L60)-SUM(L62:L65)</x:f>
        <x:v>193521.77014213864</x:v>
      </x:c>
      <x:c r="M66" s="22" t="n">
        <x:f>M50-M57-SUM(M59:M60)-SUM(M62:M65)</x:f>
        <x:v>205813.2515734922</x:v>
      </x:c>
      <x:c r="N66" s="22" t="n">
        <x:f>N50-N57-SUM(N59:N60)-SUM(N62:N65)</x:f>
        <x:v>218371.4731048917</x:v>
      </x:c>
    </x:row>
    <x:row r="67" ht="31" customHeight="1">
      <x:c r="A67" s="10" t="str">
        <x:v>Opening cash</x:v>
      </x:c>
      <x:c r="B67" s="4"/>
      <x:c r="C67" s="4" t="n">
        <x:f>$C$15</x:f>
        <x:v>1100000</x:v>
      </x:c>
      <x:c r="D67" s="4" t="n">
        <x:f>C68</x:f>
        <x:v>-171233.33333333326</x:v>
      </x:c>
      <x:c r="E67" s="4" t="n">
        <x:f>D68</x:f>
        <x:v>-67055.3333333332</x:v>
      </x:c>
      <x:c r="F67" s="4" t="n">
        <x:f>E68</x:f>
        <x:v>47462.51000000056</x:v>
      </x:c>
      <x:c r="G67" s="4" t="n">
        <x:f>F68</x:f>
        <x:v>172547.345716667</x:v>
      </x:c>
      <x:c r="H67" s="4" t="n">
        <x:f>G68</x:f>
        <x:v>308430.9349042169</x:v>
      </x:c>
      <x:c r="I67" s="4" t="n">
        <x:f>H68</x:f>
        <x:v>455349.7431356716</x:v>
      </x:c>
      <x:c r="J67" s="4" t="n">
        <x:f>I68</x:f>
        <x:v>613545.0347670213</x:v>
      </x:c>
      <x:c r="K67" s="4" t="n">
        <x:f>J68</x:f>
        <x:v>783262.9691213048</x:v>
      </x:c>
      <x:c r="L67" s="4" t="n">
        <x:f>K68</x:f>
        <x:v>964754.6985969843</x:v>
      </x:c>
      <x:c r="M67" s="4" t="n">
        <x:f>L68</x:f>
        <x:v>1158276.4687391229</x:v>
      </x:c>
      <x:c r="N67" s="4" t="n">
        <x:f>M68</x:f>
        <x:v>1364089.720312615</x:v>
      </x:c>
    </x:row>
    <x:row r="68" ht="31" customHeight="1">
      <x:c r="A68" s="23" t="str">
        <x:v>Closing cash</x:v>
      </x:c>
      <x:c r="B68" s="22"/>
      <x:c r="C68" s="22" t="n">
        <x:f>C67+C66</x:f>
        <x:v>-171233.33333333326</x:v>
      </x:c>
      <x:c r="D68" s="22" t="n">
        <x:f>D67+D66</x:f>
        <x:v>-67055.3333333332</x:v>
      </x:c>
      <x:c r="E68" s="22" t="n">
        <x:f>E67+E66</x:f>
        <x:v>47462.51000000056</x:v>
      </x:c>
      <x:c r="F68" s="22" t="n">
        <x:f>F67+F66</x:f>
        <x:v>172547.345716667</x:v>
      </x:c>
      <x:c r="G68" s="22" t="n">
        <x:f>G67+G66</x:f>
        <x:v>308430.9349042169</x:v>
      </x:c>
      <x:c r="H68" s="22" t="n">
        <x:f>H67+H66</x:f>
        <x:v>455349.7431356716</x:v>
      </x:c>
      <x:c r="I68" s="22" t="n">
        <x:f>I67+I66</x:f>
        <x:v>613545.0347670213</x:v>
      </x:c>
      <x:c r="J68" s="22" t="n">
        <x:f>J67+J66</x:f>
        <x:v>783262.9691213048</x:v>
      </x:c>
      <x:c r="K68" s="22" t="n">
        <x:f>K67+K66</x:f>
        <x:v>964754.6985969843</x:v>
      </x:c>
      <x:c r="L68" s="22" t="n">
        <x:f>L67+L66</x:f>
        <x:v>1158276.4687391229</x:v>
      </x:c>
      <x:c r="M68" s="22" t="n">
        <x:f>M67+M66</x:f>
        <x:v>1364089.720312615</x:v>
      </x:c>
      <x:c r="N68" s="22" t="n">
        <x:f>N67+N66</x:f>
        <x:v>1582461.1934175065</x:v>
      </x:c>
    </x:row>
    <x:row r="69" ht="31" customHeight="1">
      <x:c r="A69" s="10" t="str">
        <x:v>Cash-buffer shortfall</x:v>
      </x:c>
      <x:c r="B69" s="4"/>
      <x:c r="C69" s="4" t="n">
        <x:f>MAX(0,$C$15-C68)</x:f>
        <x:v>1271233.3333333333</x:v>
      </x:c>
      <x:c r="D69" s="4" t="n">
        <x:f>MAX(0,$C$15-D68)</x:f>
        <x:v>1167055.3333333333</x:v>
      </x:c>
      <x:c r="E69" s="4" t="n">
        <x:f>MAX(0,$C$15-E68)</x:f>
        <x:v>1052537.4899999995</x:v>
      </x:c>
      <x:c r="F69" s="4" t="n">
        <x:f>MAX(0,$C$15-F68)</x:f>
        <x:v>927452.654283333</x:v>
      </x:c>
      <x:c r="G69" s="4" t="n">
        <x:f>MAX(0,$C$15-G68)</x:f>
        <x:v>791569.0650957831</x:v>
      </x:c>
      <x:c r="H69" s="4" t="n">
        <x:f>MAX(0,$C$15-H68)</x:f>
        <x:v>644650.2568643284</x:v>
      </x:c>
      <x:c r="I69" s="4" t="n">
        <x:f>MAX(0,$C$15-I68)</x:f>
        <x:v>486454.9652329787</x:v>
      </x:c>
      <x:c r="J69" s="4" t="n">
        <x:f>MAX(0,$C$15-J68)</x:f>
        <x:v>316737.0308786952</x:v>
      </x:c>
      <x:c r="K69" s="4" t="n">
        <x:f>MAX(0,$C$15-K68)</x:f>
        <x:v>135245.30140301574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6.749999999999999</x:v>
      </x:c>
      <x:c r="D70" s="30" t="n">
        <x:f>IF(SUM(D59:D60)&gt;0,D50/SUM(D59:D60),"No debt")</x:f>
        <x:v>7.289150943396229</x:v>
      </x:c>
      <x:c r="E70" s="30" t="n">
        <x:f>IF(SUM(E59:E60)&gt;0,E50/SUM(E59:E60),"No debt")</x:f>
        <x:v>7.846212816455696</x:v>
      </x:c>
      <x:c r="F70" s="30" t="n">
        <x:f>IF(SUM(F59:F60)&gt;0,F50/SUM(F59:F60),"No debt")</x:f>
        <x:v>8.421754292197454</x:v>
      </x:c>
      <x:c r="G70" s="30" t="n">
        <x:f>IF(SUM(G59:G60)&gt;0,G50/SUM(G59:G60),"No debt")</x:f>
        <x:v>9.016363192478378</x:v>
      </x:c>
      <x:c r="H70" s="30" t="n">
        <x:f>IF(SUM(H59:H60)&gt;0,H50/SUM(H59:H60),"No debt")</x:f>
        <x:v>9.630647197666496</x:v>
      </x:c>
      <x:c r="I70" s="30" t="n">
        <x:f>IF(SUM(I59:I60)&gt;0,I50/SUM(I59:I60),"No debt")</x:f>
        <x:v>10.265234585815415</x:v>
      </x:c>
      <x:c r="J70" s="30" t="n">
        <x:f>IF(SUM(J59:J60)&gt;0,J50/SUM(J59:J60),"No debt")</x:f>
        <x:v>10.92077500272667</x:v>
      </x:c>
      <x:c r="K70" s="30" t="n">
        <x:f>IF(SUM(K59:K60)&gt;0,K50/SUM(K59:K60),"No debt")</x:f>
        <x:v>11.597940264360867</x:v>
      </x:c>
      <x:c r="L70" s="30" t="n">
        <x:f>IF(SUM(L59:L60)&gt;0,L50/SUM(L59:L60),"No debt")</x:f>
        <x:v>12.29742519313646</x:v>
      </x:c>
      <x:c r="M70" s="30" t="n">
        <x:f>IF(SUM(M59:M60)&gt;0,M50/SUM(M59:M60),"No debt")</x:f>
        <x:v>13.019948489738043</x:v>
      </x:c>
      <x:c r="N70" s="30" t="n">
        <x:f>IF(SUM(N59:N60)&gt;0,N50/SUM(N59:N60),"No debt")</x:f>
        <x:v>13.766253642143571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0.44</x:v>
      </x:c>
      <x:c r="D71" s="20" t="n">
        <x:f>IF($C$10&gt;0,D43/$C$10,0)</x:f>
        <x:v>0.4488</x:v>
      </x:c>
      <x:c r="E71" s="20" t="n">
        <x:f>IF($C$10&gt;0,E43/$C$10,0)</x:f>
        <x:v>0.457776</x:v>
      </x:c>
      <x:c r="F71" s="20" t="n">
        <x:f>IF($C$10&gt;0,F43/$C$10,0)</x:f>
        <x:v>0.46693152</x:v>
      </x:c>
      <x:c r="G71" s="20" t="n">
        <x:f>IF($C$10&gt;0,G43/$C$10,0)</x:f>
        <x:v>0.4762701504</x:v>
      </x:c>
      <x:c r="H71" s="20" t="n">
        <x:f>IF($C$10&gt;0,H43/$C$10,0)</x:f>
        <x:v>0.48579555340799996</x:v>
      </x:c>
      <x:c r="I71" s="20" t="n">
        <x:f>IF($C$10&gt;0,I43/$C$10,0)</x:f>
        <x:v>0.49551146447616</x:v>
      </x:c>
      <x:c r="J71" s="20" t="n">
        <x:f>IF($C$10&gt;0,J43/$C$10,0)</x:f>
        <x:v>0.5054216937656831</x:v>
      </x:c>
      <x:c r="K71" s="20" t="n">
        <x:f>IF($C$10&gt;0,K43/$C$10,0)</x:f>
        <x:v>0.5155301276409968</x:v>
      </x:c>
      <x:c r="L71" s="20" t="n">
        <x:f>IF($C$10&gt;0,L43/$C$10,0)</x:f>
        <x:v>0.5258407301938167</x:v>
      </x:c>
      <x:c r="M71" s="20" t="n">
        <x:f>IF($C$10&gt;0,M43/$C$10,0)</x:f>
        <x:v>0.5363575447976932</x:v>
      </x:c>
      <x:c r="N71" s="20" t="n">
        <x:f>IF($C$10&gt;0,N43/$C$10,0)</x:f>
        <x:v>0.5470846956936469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42d2aadf615d400e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Manufacturing Unit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5200</x:v>
      </x:c>
      <x:c r="D6" s="10" t="str">
        <x:v>saleable units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3172000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610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2236000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430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180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720000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936000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8000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216000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0.29508196721311475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4000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6500000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2440000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800000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0.65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1600000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9100000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40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4600000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35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25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2537600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4500000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569919.9999999998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-150080.00000000023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3172000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13000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42543148.617619686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3769720.716375606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-1759778.6031780606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-2807200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2807200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4407200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5200</x:v>
      </x:c>
      <x:c r="D43" s="4" t="n">
        <x:f>MIN($C$10,$C$6*(1+$C$11)^1)</x:f>
        <x:v>5304</x:v>
      </x:c>
      <x:c r="E43" s="4" t="n">
        <x:f>MIN($C$10,$C$6*(1+$C$11)^2)</x:f>
        <x:v>5410.08</x:v>
      </x:c>
      <x:c r="F43" s="4" t="n">
        <x:f>MIN($C$10,$C$6*(1+$C$11)^3)</x:f>
        <x:v>5518.281599999999</x:v>
      </x:c>
      <x:c r="G43" s="4" t="n">
        <x:f>MIN($C$10,$C$6*(1+$C$11)^4)</x:f>
        <x:v>5628.647232</x:v>
      </x:c>
      <x:c r="H43" s="4" t="n">
        <x:f>MIN($C$10,$C$6*(1+$C$11)^5)</x:f>
        <x:v>5741.22017664</x:v>
      </x:c>
      <x:c r="I43" s="4" t="n">
        <x:f>MIN($C$10,$C$6*(1+$C$11)^6)</x:f>
        <x:v>5856.0445801728</x:v>
      </x:c>
      <x:c r="J43" s="4" t="n">
        <x:f>MIN($C$10,$C$6*(1+$C$11)^7)</x:f>
        <x:v>5973.165471776255</x:v>
      </x:c>
      <x:c r="K43" s="4" t="n">
        <x:f>MIN($C$10,$C$6*(1+$C$11)^8)</x:f>
        <x:v>6092.628781211781</x:v>
      </x:c>
      <x:c r="L43" s="4" t="n">
        <x:f>MIN($C$10,$C$6*(1+$C$11)^9)</x:f>
        <x:v>6214.481356836016</x:v>
      </x:c>
      <x:c r="M43" s="4" t="n">
        <x:f>MIN($C$10,$C$6*(1+$C$11)^10)</x:f>
        <x:v>6338.770983972737</x:v>
      </x:c>
      <x:c r="N43" s="4" t="n">
        <x:f>MIN($C$10,$C$6*(1+$C$11)^11)</x:f>
        <x:v>6465.546403652191</x:v>
      </x:c>
    </x:row>
    <x:row r="44" ht="31" customHeight="1">
      <x:c r="A44" s="10" t="str">
        <x:v>Net unit price</x:v>
      </x:c>
      <x:c r="B44" s="4"/>
      <x:c r="C44" s="4" t="n">
        <x:f>$C$7*(1+$C$34)^0</x:f>
        <x:v>610</x:v>
      </x:c>
      <x:c r="D44" s="4" t="n">
        <x:f>$C$7*(1+$C$34)^1</x:f>
        <x:v>610</x:v>
      </x:c>
      <x:c r="E44" s="4" t="n">
        <x:f>$C$7*(1+$C$34)^2</x:f>
        <x:v>610</x:v>
      </x:c>
      <x:c r="F44" s="4" t="n">
        <x:f>$C$7*(1+$C$34)^3</x:f>
        <x:v>610</x:v>
      </x:c>
      <x:c r="G44" s="4" t="n">
        <x:f>$C$7*(1+$C$34)^4</x:f>
        <x:v>610</x:v>
      </x:c>
      <x:c r="H44" s="4" t="n">
        <x:f>$C$7*(1+$C$34)^5</x:f>
        <x:v>610</x:v>
      </x:c>
      <x:c r="I44" s="4" t="n">
        <x:f>$C$7*(1+$C$34)^6</x:f>
        <x:v>610</x:v>
      </x:c>
      <x:c r="J44" s="4" t="n">
        <x:f>$C$7*(1+$C$34)^7</x:f>
        <x:v>610</x:v>
      </x:c>
      <x:c r="K44" s="4" t="n">
        <x:f>$C$7*(1+$C$34)^8</x:f>
        <x:v>610</x:v>
      </x:c>
      <x:c r="L44" s="4" t="n">
        <x:f>$C$7*(1+$C$34)^9</x:f>
        <x:v>610</x:v>
      </x:c>
      <x:c r="M44" s="4" t="n">
        <x:f>$C$7*(1+$C$34)^10</x:f>
        <x:v>610</x:v>
      </x:c>
      <x:c r="N44" s="4" t="n">
        <x:f>$C$7*(1+$C$34)^11</x:f>
        <x:v>610</x:v>
      </x:c>
    </x:row>
    <x:row r="45" ht="31" customHeight="1">
      <x:c r="A45" s="23" t="str">
        <x:v>Net revenue</x:v>
      </x:c>
      <x:c r="B45" s="22"/>
      <x:c r="C45" s="22" t="n">
        <x:f>C43*C44</x:f>
        <x:v>3172000</x:v>
      </x:c>
      <x:c r="D45" s="22" t="n">
        <x:f>D43*D44</x:f>
        <x:v>3235440</x:v>
      </x:c>
      <x:c r="E45" s="22" t="n">
        <x:f>E43*E44</x:f>
        <x:v>3300148.8</x:v>
      </x:c>
      <x:c r="F45" s="22" t="n">
        <x:f>F43*F44</x:f>
        <x:v>3366151.7759999996</x:v>
      </x:c>
      <x:c r="G45" s="22" t="n">
        <x:f>G43*G44</x:f>
        <x:v>3433474.81152</x:v>
      </x:c>
      <x:c r="H45" s="22" t="n">
        <x:f>H43*H44</x:f>
        <x:v>3502144.3077504</x:v>
      </x:c>
      <x:c r="I45" s="22" t="n">
        <x:f>I43*I44</x:f>
        <x:v>3572187.193905408</x:v>
      </x:c>
      <x:c r="J45" s="22" t="n">
        <x:f>J43*J44</x:f>
        <x:v>3643630.9377835155</x:v>
      </x:c>
      <x:c r="K45" s="22" t="n">
        <x:f>K43*K44</x:f>
        <x:v>3716503.5565391863</x:v>
      </x:c>
      <x:c r="L45" s="22" t="n">
        <x:f>L43*L44</x:f>
        <x:v>3790833.6276699696</x:v>
      </x:c>
      <x:c r="M45" s="22" t="n">
        <x:f>M43*M44</x:f>
        <x:v>3866650.3002233696</x:v>
      </x:c>
      <x:c r="N45" s="22" t="n">
        <x:f>N43*N44</x:f>
        <x:v>3943983.3062278363</x:v>
      </x:c>
    </x:row>
    <x:row r="46" ht="31" customHeight="1">
      <x:c r="A46" s="10" t="str">
        <x:v>Variable cost per unit</x:v>
      </x:c>
      <x:c r="B46" s="4"/>
      <x:c r="C46" s="4" t="n">
        <x:f>$C$8</x:f>
        <x:v>430</x:v>
      </x:c>
      <x:c r="D46" s="4" t="n">
        <x:f>$C$8</x:f>
        <x:v>430</x:v>
      </x:c>
      <x:c r="E46" s="4" t="n">
        <x:f>$C$8</x:f>
        <x:v>430</x:v>
      </x:c>
      <x:c r="F46" s="4" t="n">
        <x:f>$C$8</x:f>
        <x:v>430</x:v>
      </x:c>
      <x:c r="G46" s="4" t="n">
        <x:f>$C$8</x:f>
        <x:v>430</x:v>
      </x:c>
      <x:c r="H46" s="4" t="n">
        <x:f>$C$8</x:f>
        <x:v>430</x:v>
      </x:c>
      <x:c r="I46" s="4" t="n">
        <x:f>$C$8</x:f>
        <x:v>430</x:v>
      </x:c>
      <x:c r="J46" s="4" t="n">
        <x:f>$C$8</x:f>
        <x:v>430</x:v>
      </x:c>
      <x:c r="K46" s="4" t="n">
        <x:f>$C$8</x:f>
        <x:v>430</x:v>
      </x:c>
      <x:c r="L46" s="4" t="n">
        <x:f>$C$8</x:f>
        <x:v>430</x:v>
      </x:c>
      <x:c r="M46" s="4" t="n">
        <x:f>$C$8</x:f>
        <x:v>430</x:v>
      </x:c>
      <x:c r="N46" s="4" t="n">
        <x:f>$C$8</x:f>
        <x:v>430</x:v>
      </x:c>
    </x:row>
    <x:row r="47" ht="31" customHeight="1">
      <x:c r="A47" s="10" t="str">
        <x:v>Variable cash cost</x:v>
      </x:c>
      <x:c r="B47" s="4"/>
      <x:c r="C47" s="4" t="n">
        <x:f>C43*C46</x:f>
        <x:v>2236000</x:v>
      </x:c>
      <x:c r="D47" s="4" t="n">
        <x:f>D43*D46</x:f>
        <x:v>2280720</x:v>
      </x:c>
      <x:c r="E47" s="4" t="n">
        <x:f>E43*E46</x:f>
        <x:v>2326334.4</x:v>
      </x:c>
      <x:c r="F47" s="4" t="n">
        <x:f>F43*F46</x:f>
        <x:v>2372861.0879999995</x:v>
      </x:c>
      <x:c r="G47" s="4" t="n">
        <x:f>G43*G46</x:f>
        <x:v>2420318.30976</x:v>
      </x:c>
      <x:c r="H47" s="4" t="n">
        <x:f>H43*H46</x:f>
        <x:v>2468724.6759552</x:v>
      </x:c>
      <x:c r="I47" s="4" t="n">
        <x:f>I43*I46</x:f>
        <x:v>2518099.169474304</x:v>
      </x:c>
      <x:c r="J47" s="4" t="n">
        <x:f>J43*J46</x:f>
        <x:v>2568461.15286379</x:v>
      </x:c>
      <x:c r="K47" s="4" t="n">
        <x:f>K43*K46</x:f>
        <x:v>2619830.375921066</x:v>
      </x:c>
      <x:c r="L47" s="4" t="n">
        <x:f>L43*L46</x:f>
        <x:v>2672226.983439487</x:v>
      </x:c>
      <x:c r="M47" s="4" t="n">
        <x:f>M43*M46</x:f>
        <x:v>2725671.523108277</x:v>
      </x:c>
      <x:c r="N47" s="4" t="n">
        <x:f>N43*N46</x:f>
        <x:v>2780184.953570442</x:v>
      </x:c>
    </x:row>
    <x:row r="48" ht="31" customHeight="1">
      <x:c r="A48" s="10" t="str">
        <x:v>Contribution</x:v>
      </x:c>
      <x:c r="B48" s="4"/>
      <x:c r="C48" s="4" t="n">
        <x:f>C45-C47</x:f>
        <x:v>936000</x:v>
      </x:c>
      <x:c r="D48" s="4" t="n">
        <x:f>D45-D47</x:f>
        <x:v>954720</x:v>
      </x:c>
      <x:c r="E48" s="4" t="n">
        <x:f>E45-E47</x:f>
        <x:v>973814.3999999999</x:v>
      </x:c>
      <x:c r="F48" s="4" t="n">
        <x:f>F45-F47</x:f>
        <x:v>993290.6880000001</x:v>
      </x:c>
      <x:c r="G48" s="4" t="n">
        <x:f>G45-G47</x:f>
        <x:v>1013156.5017599999</x:v>
      </x:c>
      <x:c r="H48" s="4" t="n">
        <x:f>H45-H47</x:f>
        <x:v>1033419.6317952</x:v>
      </x:c>
      <x:c r="I48" s="4" t="n">
        <x:f>I45-I47</x:f>
        <x:v>1054088.0244311038</x:v>
      </x:c>
      <x:c r="J48" s="4" t="n">
        <x:f>J45-J47</x:f>
        <x:v>1075169.7849197257</x:v>
      </x:c>
      <x:c r="K48" s="4" t="n">
        <x:f>K45-K47</x:f>
        <x:v>1096673.1806181204</x:v>
      </x:c>
      <x:c r="L48" s="4" t="n">
        <x:f>L45-L47</x:f>
        <x:v>1118606.6442304826</x:v>
      </x:c>
      <x:c r="M48" s="4" t="n">
        <x:f>M45-M47</x:f>
        <x:v>1140978.7771150926</x:v>
      </x:c>
      <x:c r="N48" s="4" t="n">
        <x:f>N45-N47</x:f>
        <x:v>1163798.3526573945</x:v>
      </x:c>
    </x:row>
    <x:row r="49" ht="31" customHeight="1">
      <x:c r="A49" s="10" t="str">
        <x:v>Fixed cash costs</x:v>
      </x:c>
      <x:c r="B49" s="4"/>
      <x:c r="C49" s="4" t="n">
        <x:f>$C$9*(1+$C$12)^0</x:f>
        <x:v>720000</x:v>
      </x:c>
      <x:c r="D49" s="4" t="n">
        <x:f>$C$9*(1+$C$12)^1</x:f>
        <x:v>722159.9999999999</x:v>
      </x:c>
      <x:c r="E49" s="4" t="n">
        <x:f>$C$9*(1+$C$12)^2</x:f>
        <x:v>724326.4799999997</x:v>
      </x:c>
      <x:c r="F49" s="4" t="n">
        <x:f>$C$9*(1+$C$12)^3</x:f>
        <x:v>726499.4594399998</x:v>
      </x:c>
      <x:c r="G49" s="4" t="n">
        <x:f>$C$9*(1+$C$12)^4</x:f>
        <x:v>728678.9578183197</x:v>
      </x:c>
      <x:c r="H49" s="4" t="n">
        <x:f>$C$9*(1+$C$12)^5</x:f>
        <x:v>730864.9946917746</x:v>
      </x:c>
      <x:c r="I49" s="4" t="n">
        <x:f>$C$9*(1+$C$12)^6</x:f>
        <x:v>733057.5896758497</x:v>
      </x:c>
      <x:c r="J49" s="4" t="n">
        <x:f>$C$9*(1+$C$12)^7</x:f>
        <x:v>735256.7624448772</x:v>
      </x:c>
      <x:c r="K49" s="4" t="n">
        <x:f>$C$9*(1+$C$12)^8</x:f>
        <x:v>737462.5327322118</x:v>
      </x:c>
      <x:c r="L49" s="4" t="n">
        <x:f>$C$9*(1+$C$12)^9</x:f>
        <x:v>739674.9203304083</x:v>
      </x:c>
      <x:c r="M49" s="4" t="n">
        <x:f>$C$9*(1+$C$12)^10</x:f>
        <x:v>741893.9450913994</x:v>
      </x:c>
      <x:c r="N49" s="4" t="n">
        <x:f>$C$9*(1+$C$12)^11</x:f>
        <x:v>744119.6269266736</x:v>
      </x:c>
    </x:row>
    <x:row r="50" ht="31" customHeight="1">
      <x:c r="A50" s="23" t="str">
        <x:v>Operating cash profit (EBITDA)</x:v>
      </x:c>
      <x:c r="B50" s="22"/>
      <x:c r="C50" s="22" t="n">
        <x:f>C48-C49</x:f>
        <x:v>216000</x:v>
      </x:c>
      <x:c r="D50" s="22" t="n">
        <x:f>D48-D49</x:f>
        <x:v>232560.00000000012</x:v>
      </x:c>
      <x:c r="E50" s="22" t="n">
        <x:f>E48-E49</x:f>
        <x:v>249487.92000000016</x:v>
      </x:c>
      <x:c r="F50" s="22" t="n">
        <x:f>F48-F49</x:f>
        <x:v>266791.2285600003</x:v>
      </x:c>
      <x:c r="G50" s="22" t="n">
        <x:f>G48-G49</x:f>
        <x:v>284477.5439416802</x:v>
      </x:c>
      <x:c r="H50" s="22" t="n">
        <x:f>H48-H49</x:f>
        <x:v>302554.63710342546</x:v>
      </x:c>
      <x:c r="I50" s="22" t="n">
        <x:f>I48-I49</x:f>
        <x:v>321030.4347552542</x:v>
      </x:c>
      <x:c r="J50" s="22" t="n">
        <x:f>J48-J49</x:f>
        <x:v>339913.02247484855</x:v>
      </x:c>
      <x:c r="K50" s="22" t="n">
        <x:f>K48-K49</x:f>
        <x:v>359210.6478859086</x:v>
      </x:c>
      <x:c r="L50" s="22" t="n">
        <x:f>L48-L49</x:f>
        <x:v>378931.7239000744</x:v>
      </x:c>
      <x:c r="M50" s="22" t="n">
        <x:f>M48-M49</x:f>
        <x:v>399084.83202369325</x:v>
      </x:c>
      <x:c r="N50" s="22" t="n">
        <x:f>N48-N49</x:f>
        <x:v>419678.7257307209</x:v>
      </x:c>
    </x:row>
    <x:row r="51" ht="31" customHeight="1">
      <x:c r="A51" s="10" t="str">
        <x:v>Planning depreciation</x:v>
      </x:c>
      <x:c r="B51" s="4"/>
      <x:c r="C51" s="4" t="n">
        <x:f>$C$13/$C$33/$C$30</x:f>
        <x:v>108333.33333333333</x:v>
      </x:c>
      <x:c r="D51" s="4" t="n">
        <x:f>$C$13/$C$33/$C$30</x:f>
        <x:v>108333.33333333333</x:v>
      </x:c>
      <x:c r="E51" s="4" t="n">
        <x:f>$C$13/$C$33/$C$30</x:f>
        <x:v>108333.33333333333</x:v>
      </x:c>
      <x:c r="F51" s="4" t="n">
        <x:f>$C$13/$C$33/$C$30</x:f>
        <x:v>108333.33333333333</x:v>
      </x:c>
      <x:c r="G51" s="4" t="n">
        <x:f>$C$13/$C$33/$C$30</x:f>
        <x:v>108333.33333333333</x:v>
      </x:c>
      <x:c r="H51" s="4" t="n">
        <x:f>$C$13/$C$33/$C$30</x:f>
        <x:v>108333.33333333333</x:v>
      </x:c>
      <x:c r="I51" s="4" t="n">
        <x:f>$C$13/$C$33/$C$30</x:f>
        <x:v>108333.33333333333</x:v>
      </x:c>
      <x:c r="J51" s="4" t="n">
        <x:f>$C$13/$C$33/$C$30</x:f>
        <x:v>108333.33333333333</x:v>
      </x:c>
      <x:c r="K51" s="4" t="n">
        <x:f>$C$13/$C$33/$C$30</x:f>
        <x:v>108333.33333333333</x:v>
      </x:c>
      <x:c r="L51" s="4" t="n">
        <x:f>$C$13/$C$33/$C$30</x:f>
        <x:v>108333.33333333333</x:v>
      </x:c>
      <x:c r="M51" s="4" t="n">
        <x:f>$C$13/$C$33/$C$30</x:f>
        <x:v>108333.33333333333</x:v>
      </x:c>
      <x:c r="N51" s="4" t="n">
        <x:f>$C$13/$C$33/$C$30</x:f>
        <x:v>108333.33333333333</x:v>
      </x:c>
    </x:row>
    <x:row r="52" ht="31" customHeight="1">
      <x:c r="A52" s="10" t="str">
        <x:v>Operating profit (EBIT)</x:v>
      </x:c>
      <x:c r="B52" s="4"/>
      <x:c r="C52" s="4" t="n">
        <x:f>C50-C51</x:f>
        <x:v>107666.66666666667</x:v>
      </x:c>
      <x:c r="D52" s="4" t="n">
        <x:f>D50-D51</x:f>
        <x:v>124226.66666666679</x:v>
      </x:c>
      <x:c r="E52" s="4" t="n">
        <x:f>E50-E51</x:f>
        <x:v>141154.58666666684</x:v>
      </x:c>
      <x:c r="F52" s="4" t="n">
        <x:f>F50-F51</x:f>
        <x:v>158457.895226667</x:v>
      </x:c>
      <x:c r="G52" s="4" t="n">
        <x:f>G50-G51</x:f>
        <x:v>176144.2106083469</x:v>
      </x:c>
      <x:c r="H52" s="4" t="n">
        <x:f>H50-H51</x:f>
        <x:v>194221.30377009214</x:v>
      </x:c>
      <x:c r="I52" s="4" t="n">
        <x:f>I50-I51</x:f>
        <x:v>212697.10142192087</x:v>
      </x:c>
      <x:c r="J52" s="4" t="n">
        <x:f>J50-J51</x:f>
        <x:v>231579.68914151523</x:v>
      </x:c>
      <x:c r="K52" s="4" t="n">
        <x:f>K50-K51</x:f>
        <x:v>250877.3145525753</x:v>
      </x:c>
      <x:c r="L52" s="4" t="n">
        <x:f>L50-L51</x:f>
        <x:v>270598.39056674106</x:v>
      </x:c>
      <x:c r="M52" s="4" t="n">
        <x:f>M50-M51</x:f>
        <x:v>290751.49869035993</x:v>
      </x:c>
      <x:c r="N52" s="4" t="n">
        <x:f>N50-N51</x:f>
        <x:v>311345.3923973876</x:v>
      </x:c>
    </x:row>
    <x:row r="53" ht="31" customHeight="1">
      <x:c r="A53" s="10" t="str">
        <x:v>Receivables</x:v>
      </x:c>
      <x:c r="B53" s="4"/>
      <x:c r="C53" s="4" t="n">
        <x:f>C45*$C$16/$C$29</x:f>
        <x:v>4229333.333333333</x:v>
      </x:c>
      <x:c r="D53" s="4" t="n">
        <x:f>D45*$C$16/$C$29</x:f>
        <x:v>4313920</x:v>
      </x:c>
      <x:c r="E53" s="4" t="n">
        <x:f>E45*$C$16/$C$29</x:f>
        <x:v>4400198.4</x:v>
      </x:c>
      <x:c r="F53" s="4" t="n">
        <x:f>F45*$C$16/$C$29</x:f>
        <x:v>4488202.368</x:v>
      </x:c>
      <x:c r="G53" s="4" t="n">
        <x:f>G45*$C$16/$C$29</x:f>
        <x:v>4577966.41536</x:v>
      </x:c>
      <x:c r="H53" s="4" t="n">
        <x:f>H45*$C$16/$C$29</x:f>
        <x:v>4669525.7436672</x:v>
      </x:c>
      <x:c r="I53" s="4" t="n">
        <x:f>I45*$C$16/$C$29</x:f>
        <x:v>4762916.258540544</x:v>
      </x:c>
      <x:c r="J53" s="4" t="n">
        <x:f>J45*$C$16/$C$29</x:f>
        <x:v>4858174.583711354</x:v>
      </x:c>
      <x:c r="K53" s="4" t="n">
        <x:f>K45*$C$16/$C$29</x:f>
        <x:v>4955338.075385582</x:v>
      </x:c>
      <x:c r="L53" s="4" t="n">
        <x:f>L45*$C$16/$C$29</x:f>
        <x:v>5054444.836893292</x:v>
      </x:c>
      <x:c r="M53" s="4" t="n">
        <x:f>M45*$C$16/$C$29</x:f>
        <x:v>5155533.73363116</x:v>
      </x:c>
      <x:c r="N53" s="4" t="n">
        <x:f>N45*$C$16/$C$29</x:f>
        <x:v>5258644.408303781</x:v>
      </x:c>
    </x:row>
    <x:row r="54" ht="31" customHeight="1">
      <x:c r="A54" s="10" t="str">
        <x:v>Own inventory</x:v>
      </x:c>
      <x:c r="B54" s="4"/>
      <x:c r="C54" s="4" t="n">
        <x:f>C47*$C$31*$C$17/$C$29</x:f>
        <x:v>1565200</x:v>
      </x:c>
      <x:c r="D54" s="4" t="n">
        <x:f>D47*$C$31*$C$17/$C$29</x:f>
        <x:v>1596504</x:v>
      </x:c>
      <x:c r="E54" s="4" t="n">
        <x:f>E47*$C$31*$C$17/$C$29</x:f>
        <x:v>1628434.0799999998</x:v>
      </x:c>
      <x:c r="F54" s="4" t="n">
        <x:f>F47*$C$31*$C$17/$C$29</x:f>
        <x:v>1661002.7615999994</x:v>
      </x:c>
      <x:c r="G54" s="4" t="n">
        <x:f>G47*$C$31*$C$17/$C$29</x:f>
        <x:v>1694222.816832</x:v>
      </x:c>
      <x:c r="H54" s="4" t="n">
        <x:f>H47*$C$31*$C$17/$C$29</x:f>
        <x:v>1728107.27316864</x:v>
      </x:c>
      <x:c r="I54" s="4" t="n">
        <x:f>I47*$C$31*$C$17/$C$29</x:f>
        <x:v>1762669.418632013</x:v>
      </x:c>
      <x:c r="J54" s="4" t="n">
        <x:f>J47*$C$31*$C$17/$C$29</x:f>
        <x:v>1797922.8070046527</x:v>
      </x:c>
      <x:c r="K54" s="4" t="n">
        <x:f>K47*$C$31*$C$17/$C$29</x:f>
        <x:v>1833881.263144746</x:v>
      </x:c>
      <x:c r="L54" s="4" t="n">
        <x:f>L47*$C$31*$C$17/$C$29</x:f>
        <x:v>1870558.8884076409</x:v>
      </x:c>
      <x:c r="M54" s="4" t="n">
        <x:f>M47*$C$31*$C$17/$C$29</x:f>
        <x:v>1907970.0661757938</x:v>
      </x:c>
      <x:c r="N54" s="4" t="n">
        <x:f>N47*$C$31*$C$17/$C$29</x:f>
        <x:v>1946129.467499309</x:v>
      </x:c>
    </x:row>
    <x:row r="55" ht="31" customHeight="1">
      <x:c r="A55" s="10" t="str">
        <x:v>Supplier payables</x:v>
      </x:c>
      <x:c r="B55" s="4"/>
      <x:c r="C55" s="4" t="n">
        <x:f>C47*$C$32*$C$18/$C$29</x:f>
        <x:v>1304333.3333333333</x:v>
      </x:c>
      <x:c r="D55" s="4" t="n">
        <x:f>D47*$C$32*$C$18/$C$29</x:f>
        <x:v>1330420</x:v>
      </x:c>
      <x:c r="E55" s="4" t="n">
        <x:f>E47*$C$32*$C$18/$C$29</x:f>
        <x:v>1357028.3999999997</x:v>
      </x:c>
      <x:c r="F55" s="4" t="n">
        <x:f>F47*$C$32*$C$18/$C$29</x:f>
        <x:v>1384168.9679999996</x:v>
      </x:c>
      <x:c r="G55" s="4" t="n">
        <x:f>G47*$C$32*$C$18/$C$29</x:f>
        <x:v>1411852.34736</x:v>
      </x:c>
      <x:c r="H55" s="4" t="n">
        <x:f>H47*$C$32*$C$18/$C$29</x:f>
        <x:v>1440089.3943071999</x:v>
      </x:c>
      <x:c r="I55" s="4" t="n">
        <x:f>I47*$C$32*$C$18/$C$29</x:f>
        <x:v>1468891.182193344</x:v>
      </x:c>
      <x:c r="J55" s="4" t="n">
        <x:f>J47*$C$32*$C$18/$C$29</x:f>
        <x:v>1498269.0058372105</x:v>
      </x:c>
      <x:c r="K55" s="4" t="n">
        <x:f>K47*$C$32*$C$18/$C$29</x:f>
        <x:v>1528234.385953955</x:v>
      </x:c>
      <x:c r="L55" s="4" t="n">
        <x:f>L47*$C$32*$C$18/$C$29</x:f>
        <x:v>1558799.0736730339</x:v>
      </x:c>
      <x:c r="M55" s="4" t="n">
        <x:f>M47*$C$32*$C$18/$C$29</x:f>
        <x:v>1589975.0551464946</x:v>
      </x:c>
      <x:c r="N55" s="4" t="n">
        <x:f>N47*$C$32*$C$18/$C$29</x:f>
        <x:v>1621774.5562494243</x:v>
      </x:c>
    </x:row>
    <x:row r="56" ht="31" customHeight="1">
      <x:c r="A56" s="23" t="str">
        <x:v>Net working capital</x:v>
      </x:c>
      <x:c r="B56" s="22"/>
      <x:c r="C56" s="22" t="n">
        <x:f>C53+C54-C55</x:f>
        <x:v>4490200</x:v>
      </x:c>
      <x:c r="D56" s="22" t="n">
        <x:f>D53+D54-D55</x:f>
        <x:v>4580004</x:v>
      </x:c>
      <x:c r="E56" s="22" t="n">
        <x:f>E53+E54-E55</x:f>
        <x:v>4671604.080000001</x:v>
      </x:c>
      <x:c r="F56" s="22" t="n">
        <x:f>F53+F54-F55</x:f>
        <x:v>4765036.1616</x:v>
      </x:c>
      <x:c r="G56" s="22" t="n">
        <x:f>G53+G54-G55</x:f>
        <x:v>4860336.884832</x:v>
      </x:c>
      <x:c r="H56" s="22" t="n">
        <x:f>H53+H54-H55</x:f>
        <x:v>4957543.622528641</x:v>
      </x:c>
      <x:c r="I56" s="22" t="n">
        <x:f>I53+I54-I55</x:f>
        <x:v>5056694.494979212</x:v>
      </x:c>
      <x:c r="J56" s="22" t="n">
        <x:f>J53+J54-J55</x:f>
        <x:v>5157828.3848787965</x:v>
      </x:c>
      <x:c r="K56" s="22" t="n">
        <x:f>K53+K54-K55</x:f>
        <x:v>5260984.952576373</x:v>
      </x:c>
      <x:c r="L56" s="22" t="n">
        <x:f>L53+L54-L55</x:f>
        <x:v>5366204.651627899</x:v>
      </x:c>
      <x:c r="M56" s="22" t="n">
        <x:f>M53+M54-M55</x:f>
        <x:v>5473528.744660459</x:v>
      </x:c>
      <x:c r="N56" s="22" t="n">
        <x:f>N53+N54-N55</x:f>
        <x:v>5582999.319553666</x:v>
      </x:c>
    </x:row>
    <x:row r="57" ht="31" customHeight="1">
      <x:c r="A57" s="10" t="str">
        <x:v>Increase in working capital</x:v>
      </x:c>
      <x:c r="B57" s="4"/>
      <x:c r="C57" s="4" t="n">
        <x:f>C56</x:f>
        <x:v>4490200</x:v>
      </x:c>
      <x:c r="D57" s="4" t="n">
        <x:f>D56-C56</x:f>
        <x:v>89804</x:v>
      </x:c>
      <x:c r="E57" s="4" t="n">
        <x:f>E56-D56</x:f>
        <x:v>91600.080000001</x:v>
      </x:c>
      <x:c r="F57" s="4" t="n">
        <x:f>F56-E56</x:f>
        <x:v>93432.08159999922</x:v>
      </x:c>
      <x:c r="G57" s="4" t="n">
        <x:f>G56-F56</x:f>
        <x:v>95300.72323200013</x:v>
      </x:c>
      <x:c r="H57" s="4" t="n">
        <x:f>H56-G56</x:f>
        <x:v>97206.7376966402</x:v>
      </x:c>
      <x:c r="I57" s="4" t="n">
        <x:f>I56-H56</x:f>
        <x:v>99150.8724505715</x:v>
      </x:c>
      <x:c r="J57" s="4" t="n">
        <x:f>J56-I56</x:f>
        <x:v>101133.88989958446</x:v>
      </x:c>
      <x:c r="K57" s="4" t="n">
        <x:f>K56-J56</x:f>
        <x:v>103156.56769757625</x:v>
      </x:c>
      <x:c r="L57" s="4" t="n">
        <x:f>L56-K56</x:f>
        <x:v>105219.69905152638</x:v>
      </x:c>
      <x:c r="M57" s="4" t="n">
        <x:f>M56-L56</x:f>
        <x:v>107324.09303256031</x:v>
      </x:c>
      <x:c r="N57" s="4" t="n">
        <x:f>N56-M56</x:f>
        <x:v>109470.57489320636</x:v>
      </x:c>
    </x:row>
    <x:row r="58" ht="31" customHeight="1">
      <x:c r="A58" s="10" t="str">
        <x:v>Opening debt</x:v>
      </x:c>
      <x:c r="B58" s="4"/>
      <x:c r="C58" s="4" t="n">
        <x:f>$C$19</x:f>
        <x:v>4500000</x:v>
      </x:c>
      <x:c r="D58" s="4" t="n">
        <x:f>C61</x:f>
        <x:v>4425000</x:v>
      </x:c>
      <x:c r="E58" s="4" t="n">
        <x:f>D61</x:f>
        <x:v>4350000</x:v>
      </x:c>
      <x:c r="F58" s="4" t="n">
        <x:f>E61</x:f>
        <x:v>4275000</x:v>
      </x:c>
      <x:c r="G58" s="4" t="n">
        <x:f>F61</x:f>
        <x:v>4200000</x:v>
      </x:c>
      <x:c r="H58" s="4" t="n">
        <x:f>G61</x:f>
        <x:v>4125000</x:v>
      </x:c>
      <x:c r="I58" s="4" t="n">
        <x:f>H61</x:f>
        <x:v>4050000</x:v>
      </x:c>
      <x:c r="J58" s="4" t="n">
        <x:f>I61</x:f>
        <x:v>3975000</x:v>
      </x:c>
      <x:c r="K58" s="4" t="n">
        <x:f>J61</x:f>
        <x:v>3900000</x:v>
      </x:c>
      <x:c r="L58" s="4" t="n">
        <x:f>K61</x:f>
        <x:v>3825000</x:v>
      </x:c>
      <x:c r="M58" s="4" t="n">
        <x:f>L61</x:f>
        <x:v>3750000</x:v>
      </x:c>
      <x:c r="N58" s="4" t="n">
        <x:f>M61</x:f>
        <x:v>3675000</x:v>
      </x:c>
    </x:row>
    <x:row r="59" ht="31" customHeight="1">
      <x:c r="A59" s="10" t="str">
        <x:v>Interest cash</x:v>
      </x:c>
      <x:c r="B59" s="4"/>
      <x:c r="C59" s="4" t="n">
        <x:f>C58*$C$20/$C$30</x:f>
        <x:v>45000</x:v>
      </x:c>
      <x:c r="D59" s="4" t="n">
        <x:f>D58*$C$20/$C$30</x:f>
        <x:v>44250</x:v>
      </x:c>
      <x:c r="E59" s="4" t="n">
        <x:f>E58*$C$20/$C$30</x:f>
        <x:v>43500</x:v>
      </x:c>
      <x:c r="F59" s="4" t="n">
        <x:f>F58*$C$20/$C$30</x:f>
        <x:v>42750</x:v>
      </x:c>
      <x:c r="G59" s="4" t="n">
        <x:f>G58*$C$20/$C$30</x:f>
        <x:v>42000</x:v>
      </x:c>
      <x:c r="H59" s="4" t="n">
        <x:f>H58*$C$20/$C$30</x:f>
        <x:v>41250</x:v>
      </x:c>
      <x:c r="I59" s="4" t="n">
        <x:f>I58*$C$20/$C$30</x:f>
        <x:v>40500</x:v>
      </x:c>
      <x:c r="J59" s="4" t="n">
        <x:f>J58*$C$20/$C$30</x:f>
        <x:v>39750</x:v>
      </x:c>
      <x:c r="K59" s="4" t="n">
        <x:f>K58*$C$20/$C$30</x:f>
        <x:v>39000</x:v>
      </x:c>
      <x:c r="L59" s="4" t="n">
        <x:f>L58*$C$20/$C$30</x:f>
        <x:v>38250</x:v>
      </x:c>
      <x:c r="M59" s="4" t="n">
        <x:f>M58*$C$20/$C$30</x:f>
        <x:v>37500</x:v>
      </x:c>
      <x:c r="N59" s="4" t="n">
        <x:f>N58*$C$20/$C$30</x:f>
        <x:v>36750</x:v>
      </x:c>
    </x:row>
    <x:row r="60" ht="31" customHeight="1">
      <x:c r="A60" s="10" t="str">
        <x:v>Principal repayment</x:v>
      </x:c>
      <x:c r="B60" s="4"/>
      <x:c r="C60" s="4" t="n">
        <x:f>MIN(C58,$C$19/$C$21)</x:f>
        <x:v>75000</x:v>
      </x:c>
      <x:c r="D60" s="4" t="n">
        <x:f>MIN(D58,$C$19/$C$21)</x:f>
        <x:v>75000</x:v>
      </x:c>
      <x:c r="E60" s="4" t="n">
        <x:f>MIN(E58,$C$19/$C$21)</x:f>
        <x:v>75000</x:v>
      </x:c>
      <x:c r="F60" s="4" t="n">
        <x:f>MIN(F58,$C$19/$C$21)</x:f>
        <x:v>75000</x:v>
      </x:c>
      <x:c r="G60" s="4" t="n">
        <x:f>MIN(G58,$C$19/$C$21)</x:f>
        <x:v>75000</x:v>
      </x:c>
      <x:c r="H60" s="4" t="n">
        <x:f>MIN(H58,$C$19/$C$21)</x:f>
        <x:v>75000</x:v>
      </x:c>
      <x:c r="I60" s="4" t="n">
        <x:f>MIN(I58,$C$19/$C$21)</x:f>
        <x:v>75000</x:v>
      </x:c>
      <x:c r="J60" s="4" t="n">
        <x:f>MIN(J58,$C$19/$C$21)</x:f>
        <x:v>75000</x:v>
      </x:c>
      <x:c r="K60" s="4" t="n">
        <x:f>MIN(K58,$C$19/$C$21)</x:f>
        <x:v>75000</x:v>
      </x:c>
      <x:c r="L60" s="4" t="n">
        <x:f>MIN(L58,$C$19/$C$21)</x:f>
        <x:v>75000</x:v>
      </x:c>
      <x:c r="M60" s="4" t="n">
        <x:f>MIN(M58,$C$19/$C$21)</x:f>
        <x:v>75000</x:v>
      </x:c>
      <x:c r="N60" s="4" t="n">
        <x:f>MIN(N58,$C$19/$C$21)</x:f>
        <x:v>75000</x:v>
      </x:c>
    </x:row>
    <x:row r="61" ht="31" customHeight="1">
      <x:c r="A61" s="10" t="str">
        <x:v>Closing debt</x:v>
      </x:c>
      <x:c r="B61" s="4"/>
      <x:c r="C61" s="4" t="n">
        <x:f>C58-C60</x:f>
        <x:v>4425000</x:v>
      </x:c>
      <x:c r="D61" s="4" t="n">
        <x:f>D58-D60</x:f>
        <x:v>4350000</x:v>
      </x:c>
      <x:c r="E61" s="4" t="n">
        <x:f>E58-E60</x:f>
        <x:v>4275000</x:v>
      </x:c>
      <x:c r="F61" s="4" t="n">
        <x:f>F58-F60</x:f>
        <x:v>4200000</x:v>
      </x:c>
      <x:c r="G61" s="4" t="n">
        <x:f>G58-G60</x:f>
        <x:v>4125000</x:v>
      </x:c>
      <x:c r="H61" s="4" t="n">
        <x:f>H58-H60</x:f>
        <x:v>4050000</x:v>
      </x:c>
      <x:c r="I61" s="4" t="n">
        <x:f>I58-I60</x:f>
        <x:v>3975000</x:v>
      </x:c>
      <x:c r="J61" s="4" t="n">
        <x:f>J58-J60</x:f>
        <x:v>3900000</x:v>
      </x:c>
      <x:c r="K61" s="4" t="n">
        <x:f>K58-K60</x:f>
        <x:v>3825000</x:v>
      </x:c>
      <x:c r="L61" s="4" t="n">
        <x:f>L58-L60</x:f>
        <x:v>3750000</x:v>
      </x:c>
      <x:c r="M61" s="4" t="n">
        <x:f>M58-M60</x:f>
        <x:v>3675000</x:v>
      </x:c>
      <x:c r="N61" s="4" t="n">
        <x:f>N58-N60</x:f>
        <x:v>3600000</x:v>
      </x:c>
    </x:row>
    <x:row r="62" ht="31" customHeight="1">
      <x:c r="A62" s="10" t="str">
        <x:v>Maintenance capital spend</x:v>
      </x:c>
      <x:c r="B62" s="4"/>
      <x:c r="C62" s="4" t="n">
        <x:f>$C$22</x:f>
        <x:v>13000</x:v>
      </x:c>
      <x:c r="D62" s="4" t="n">
        <x:f>$C$22</x:f>
        <x:v>13000</x:v>
      </x:c>
      <x:c r="E62" s="4" t="n">
        <x:f>$C$22</x:f>
        <x:v>13000</x:v>
      </x:c>
      <x:c r="F62" s="4" t="n">
        <x:f>$C$22</x:f>
        <x:v>13000</x:v>
      </x:c>
      <x:c r="G62" s="4" t="n">
        <x:f>$C$22</x:f>
        <x:v>13000</x:v>
      </x:c>
      <x:c r="H62" s="4" t="n">
        <x:f>$C$22</x:f>
        <x:v>13000</x:v>
      </x:c>
      <x:c r="I62" s="4" t="n">
        <x:f>$C$22</x:f>
        <x:v>13000</x:v>
      </x:c>
      <x:c r="J62" s="4" t="n">
        <x:f>$C$22</x:f>
        <x:v>13000</x:v>
      </x:c>
      <x:c r="K62" s="4" t="n">
        <x:f>$C$22</x:f>
        <x:v>13000</x:v>
      </x:c>
      <x:c r="L62" s="4" t="n">
        <x:f>$C$22</x:f>
        <x:v>13000</x:v>
      </x:c>
      <x:c r="M62" s="4" t="n">
        <x:f>$C$22</x:f>
        <x:v>13000</x:v>
      </x:c>
      <x:c r="N62" s="4" t="n">
        <x:f>$C$22</x:f>
        <x:v>13000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-4407200</x:v>
      </x:c>
      <x:c r="D66" s="22" t="n">
        <x:f>D50-D57-SUM(D59:D60)-SUM(D62:D65)</x:f>
        <x:v>10506.000000000116</x:v>
      </x:c>
      <x:c r="E66" s="22" t="n">
        <x:f>E50-E57-SUM(E59:E60)-SUM(E62:E65)</x:f>
        <x:v>26387.839999999152</x:v>
      </x:c>
      <x:c r="F66" s="22" t="n">
        <x:f>F50-F57-SUM(F59:F60)-SUM(F62:F65)</x:f>
        <x:v>42609.14696000109</x:v>
      </x:c>
      <x:c r="G66" s="22" t="n">
        <x:f>G50-G57-SUM(G59:G60)-SUM(G62:G65)</x:f>
        <x:v>59176.82070968009</x:v>
      </x:c>
      <x:c r="H66" s="22" t="n">
        <x:f>H50-H57-SUM(H59:H60)-SUM(H62:H65)</x:f>
        <x:v>76097.89940678526</x:v>
      </x:c>
      <x:c r="I66" s="22" t="n">
        <x:f>I50-I57-SUM(I59:I60)-SUM(I62:I65)</x:f>
        <x:v>93379.56230468268</x:v>
      </x:c>
      <x:c r="J66" s="22" t="n">
        <x:f>J50-J57-SUM(J59:J60)-SUM(J62:J65)</x:f>
        <x:v>111029.13257526408</x:v>
      </x:c>
      <x:c r="K66" s="22" t="n">
        <x:f>K50-K57-SUM(K59:K60)-SUM(K62:K65)</x:f>
        <x:v>129054.08018833236</x:v>
      </x:c>
      <x:c r="L66" s="22" t="n">
        <x:f>L50-L57-SUM(L59:L60)-SUM(L62:L65)</x:f>
        <x:v>147462.024848548</x:v>
      </x:c>
      <x:c r="M66" s="22" t="n">
        <x:f>M50-M57-SUM(M59:M60)-SUM(M62:M65)</x:f>
        <x:v>166260.73899113294</x:v>
      </x:c>
      <x:c r="N66" s="22" t="n">
        <x:f>N50-N57-SUM(N59:N60)-SUM(N62:N65)</x:f>
        <x:v>185458.15083751455</x:v>
      </x:c>
    </x:row>
    <x:row r="67" ht="31" customHeight="1">
      <x:c r="A67" s="10" t="str">
        <x:v>Opening cash</x:v>
      </x:c>
      <x:c r="B67" s="4"/>
      <x:c r="C67" s="4" t="n">
        <x:f>$C$15</x:f>
        <x:v>1600000</x:v>
      </x:c>
      <x:c r="D67" s="4" t="n">
        <x:f>C68</x:f>
        <x:v>-2807200</x:v>
      </x:c>
      <x:c r="E67" s="4" t="n">
        <x:f>D68</x:f>
        <x:v>-2796694</x:v>
      </x:c>
      <x:c r="F67" s="4" t="n">
        <x:f>E68</x:f>
        <x:v>-2770306.160000001</x:v>
      </x:c>
      <x:c r="G67" s="4" t="n">
        <x:f>F68</x:f>
        <x:v>-2727697.01304</x:v>
      </x:c>
      <x:c r="H67" s="4" t="n">
        <x:f>G68</x:f>
        <x:v>-2668520.19233032</x:v>
      </x:c>
      <x:c r="I67" s="4" t="n">
        <x:f>H68</x:f>
        <x:v>-2592422.2929235348</x:v>
      </x:c>
      <x:c r="J67" s="4" t="n">
        <x:f>I68</x:f>
        <x:v>-2499042.730618852</x:v>
      </x:c>
      <x:c r="K67" s="4" t="n">
        <x:f>J68</x:f>
        <x:v>-2388013.598043588</x:v>
      </x:c>
      <x:c r="L67" s="4" t="n">
        <x:f>K68</x:f>
        <x:v>-2258959.517855256</x:v>
      </x:c>
      <x:c r="M67" s="4" t="n">
        <x:f>L68</x:f>
        <x:v>-2111497.493006708</x:v>
      </x:c>
      <x:c r="N67" s="4" t="n">
        <x:f>M68</x:f>
        <x:v>-1945236.7540155752</x:v>
      </x:c>
    </x:row>
    <x:row r="68" ht="31" customHeight="1">
      <x:c r="A68" s="23" t="str">
        <x:v>Closing cash</x:v>
      </x:c>
      <x:c r="B68" s="22"/>
      <x:c r="C68" s="22" t="n">
        <x:f>C67+C66</x:f>
        <x:v>-2807200</x:v>
      </x:c>
      <x:c r="D68" s="22" t="n">
        <x:f>D67+D66</x:f>
        <x:v>-2796694</x:v>
      </x:c>
      <x:c r="E68" s="22" t="n">
        <x:f>E67+E66</x:f>
        <x:v>-2770306.160000001</x:v>
      </x:c>
      <x:c r="F68" s="22" t="n">
        <x:f>F67+F66</x:f>
        <x:v>-2727697.01304</x:v>
      </x:c>
      <x:c r="G68" s="22" t="n">
        <x:f>G67+G66</x:f>
        <x:v>-2668520.19233032</x:v>
      </x:c>
      <x:c r="H68" s="22" t="n">
        <x:f>H67+H66</x:f>
        <x:v>-2592422.2929235348</x:v>
      </x:c>
      <x:c r="I68" s="22" t="n">
        <x:f>I67+I66</x:f>
        <x:v>-2499042.730618852</x:v>
      </x:c>
      <x:c r="J68" s="22" t="n">
        <x:f>J67+J66</x:f>
        <x:v>-2388013.598043588</x:v>
      </x:c>
      <x:c r="K68" s="22" t="n">
        <x:f>K67+K66</x:f>
        <x:v>-2258959.517855256</x:v>
      </x:c>
      <x:c r="L68" s="22" t="n">
        <x:f>L67+L66</x:f>
        <x:v>-2111497.493006708</x:v>
      </x:c>
      <x:c r="M68" s="22" t="n">
        <x:f>M67+M66</x:f>
        <x:v>-1945236.7540155752</x:v>
      </x:c>
      <x:c r="N68" s="22" t="n">
        <x:f>N67+N66</x:f>
        <x:v>-1759778.6031780606</x:v>
      </x:c>
    </x:row>
    <x:row r="69" ht="31" customHeight="1">
      <x:c r="A69" s="10" t="str">
        <x:v>Cash-buffer shortfall</x:v>
      </x:c>
      <x:c r="B69" s="4"/>
      <x:c r="C69" s="4" t="n">
        <x:f>MAX(0,$C$15-C68)</x:f>
        <x:v>4407200</x:v>
      </x:c>
      <x:c r="D69" s="4" t="n">
        <x:f>MAX(0,$C$15-D68)</x:f>
        <x:v>4396694</x:v>
      </x:c>
      <x:c r="E69" s="4" t="n">
        <x:f>MAX(0,$C$15-E68)</x:f>
        <x:v>4370306.160000001</x:v>
      </x:c>
      <x:c r="F69" s="4" t="n">
        <x:f>MAX(0,$C$15-F68)</x:f>
        <x:v>4327697.013040001</x:v>
      </x:c>
      <x:c r="G69" s="4" t="n">
        <x:f>MAX(0,$C$15-G68)</x:f>
        <x:v>4268520.192330319</x:v>
      </x:c>
      <x:c r="H69" s="4" t="n">
        <x:f>MAX(0,$C$15-H68)</x:f>
        <x:v>4192422.2929235348</x:v>
      </x:c>
      <x:c r="I69" s="4" t="n">
        <x:f>MAX(0,$C$15-I68)</x:f>
        <x:v>4099042.730618852</x:v>
      </x:c>
      <x:c r="J69" s="4" t="n">
        <x:f>MAX(0,$C$15-J68)</x:f>
        <x:v>3988013.598043588</x:v>
      </x:c>
      <x:c r="K69" s="4" t="n">
        <x:f>MAX(0,$C$15-K68)</x:f>
        <x:v>3858959.517855256</x:v>
      </x:c>
      <x:c r="L69" s="4" t="n">
        <x:f>MAX(0,$C$15-L68)</x:f>
        <x:v>3711497.493006708</x:v>
      </x:c>
      <x:c r="M69" s="4" t="n">
        <x:f>MAX(0,$C$15-M68)</x:f>
        <x:v>3545236.754015575</x:v>
      </x:c>
      <x:c r="N69" s="4" t="n">
        <x:f>MAX(0,$C$15-N68)</x:f>
        <x:v>3359778.6031780606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1.8</x:v>
      </x:c>
      <x:c r="D70" s="30" t="n">
        <x:f>IF(SUM(D59:D60)&gt;0,D50/SUM(D59:D60),"No debt")</x:f>
        <x:v>1.950188679245284</x:v>
      </x:c>
      <x:c r="E70" s="30" t="n">
        <x:f>IF(SUM(E59:E60)&gt;0,E50/SUM(E59:E60),"No debt")</x:f>
        <x:v>2.105383291139242</x:v>
      </x:c>
      <x:c r="F70" s="30" t="n">
        <x:f>IF(SUM(F59:F60)&gt;0,F50/SUM(F59:F60),"No debt")</x:f>
        <x:v>2.265742917707009</x:v>
      </x:c>
      <x:c r="G70" s="30" t="n">
        <x:f>IF(SUM(G59:G60)&gt;0,G50/SUM(G59:G60),"No debt")</x:f>
        <x:v>2.4314319995015405</x:v>
      </x:c>
      <x:c r="H70" s="30" t="n">
        <x:f>IF(SUM(H59:H60)&gt;0,H50/SUM(H59:H60),"No debt")</x:f>
        <x:v>2.6026205342230146</x:v>
      </x:c>
      <x:c r="I70" s="30" t="n">
        <x:f>IF(SUM(I59:I60)&gt;0,I50/SUM(I59:I60),"No debt")</x:f>
        <x:v>2.7794842835952744</x:v>
      </x:c>
      <x:c r="J70" s="30" t="n">
        <x:f>IF(SUM(J59:J60)&gt;0,J50/SUM(J59:J60),"No debt")</x:f>
        <x:v>2.962204988887569</x:v>
      </x:c>
      <x:c r="K70" s="30" t="n">
        <x:f>IF(SUM(K59:K60)&gt;0,K50/SUM(K59:K60),"No debt")</x:f>
        <x:v>3.1509705954904264</x:v>
      </x:c>
      <x:c r="L70" s="30" t="n">
        <x:f>IF(SUM(L59:L60)&gt;0,L50/SUM(L59:L60),"No debt")</x:f>
        <x:v>3.345975486976374</x:v>
      </x:c>
      <x:c r="M70" s="30" t="n">
        <x:f>IF(SUM(M59:M60)&gt;0,M50/SUM(M59:M60),"No debt")</x:f>
        <x:v>3.5474207290994957</x:v>
      </x:c>
      <x:c r="N70" s="30" t="n">
        <x:f>IF(SUM(N59:N60)&gt;0,N50/SUM(N59:N60),"No debt")</x:f>
        <x:v>3.7555143242122675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0.65</x:v>
      </x:c>
      <x:c r="D71" s="20" t="n">
        <x:f>IF($C$10&gt;0,D43/$C$10,0)</x:f>
        <x:v>0.663</x:v>
      </x:c>
      <x:c r="E71" s="20" t="n">
        <x:f>IF($C$10&gt;0,E43/$C$10,0)</x:f>
        <x:v>0.67626</x:v>
      </x:c>
      <x:c r="F71" s="20" t="n">
        <x:f>IF($C$10&gt;0,F43/$C$10,0)</x:f>
        <x:v>0.6897851999999999</x:v>
      </x:c>
      <x:c r="G71" s="20" t="n">
        <x:f>IF($C$10&gt;0,G43/$C$10,0)</x:f>
        <x:v>0.7035809040000001</x:v>
      </x:c>
      <x:c r="H71" s="20" t="n">
        <x:f>IF($C$10&gt;0,H43/$C$10,0)</x:f>
        <x:v>0.7176525220800001</x:v>
      </x:c>
      <x:c r="I71" s="20" t="n">
        <x:f>IF($C$10&gt;0,I43/$C$10,0)</x:f>
        <x:v>0.7320055725216</x:v>
      </x:c>
      <x:c r="J71" s="20" t="n">
        <x:f>IF($C$10&gt;0,J43/$C$10,0)</x:f>
        <x:v>0.7466456839720319</x:v>
      </x:c>
      <x:c r="K71" s="20" t="n">
        <x:f>IF($C$10&gt;0,K43/$C$10,0)</x:f>
        <x:v>0.7615785976514726</x:v>
      </x:c>
      <x:c r="L71" s="20" t="n">
        <x:f>IF($C$10&gt;0,L43/$C$10,0)</x:f>
        <x:v>0.776810169604502</x:v>
      </x:c>
      <x:c r="M71" s="20" t="n">
        <x:f>IF($C$10&gt;0,M43/$C$10,0)</x:f>
        <x:v>0.792346372996592</x:v>
      </x:c>
      <x:c r="N71" s="20" t="n">
        <x:f>IF($C$10&gt;0,N43/$C$10,0)</x:f>
        <x:v>0.8081933004565238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2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4f0c586f21aa469c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Hospital &amp; Diagnostic Centre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1650</x:v>
      </x:c>
      <x:c r="D6" s="10" t="str">
        <x:v>completed encounters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2310000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1400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759000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460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940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1050000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1551000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2600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501000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0.6714285714285714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1117.0212765957447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7500000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1563829.7872340423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900000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0.6346153846153846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2200000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10800000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45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6300000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20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25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1848000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4500000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1180080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130080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2310000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15000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30981927.27197398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7992158.067479432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4486381.6239050785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-759850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759850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2959850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1650</x:v>
      </x:c>
      <x:c r="D43" s="4" t="n">
        <x:f>MIN($C$10,$C$6*(1+$C$11)^1)</x:f>
        <x:v>1683</x:v>
      </x:c>
      <x:c r="E43" s="4" t="n">
        <x:f>MIN($C$10,$C$6*(1+$C$11)^2)</x:f>
        <x:v>1716.66</x:v>
      </x:c>
      <x:c r="F43" s="4" t="n">
        <x:f>MIN($C$10,$C$6*(1+$C$11)^3)</x:f>
        <x:v>1750.9932</x:v>
      </x:c>
      <x:c r="G43" s="4" t="n">
        <x:f>MIN($C$10,$C$6*(1+$C$11)^4)</x:f>
        <x:v>1786.013064</x:v>
      </x:c>
      <x:c r="H43" s="4" t="n">
        <x:f>MIN($C$10,$C$6*(1+$C$11)^5)</x:f>
        <x:v>1821.73332528</x:v>
      </x:c>
      <x:c r="I43" s="4" t="n">
        <x:f>MIN($C$10,$C$6*(1+$C$11)^6)</x:f>
        <x:v>1858.1679917856002</x:v>
      </x:c>
      <x:c r="J43" s="4" t="n">
        <x:f>MIN($C$10,$C$6*(1+$C$11)^7)</x:f>
        <x:v>1895.3313516213118</x:v>
      </x:c>
      <x:c r="K43" s="4" t="n">
        <x:f>MIN($C$10,$C$6*(1+$C$11)^8)</x:f>
        <x:v>1933.237978653738</x:v>
      </x:c>
      <x:c r="L43" s="4" t="n">
        <x:f>MIN($C$10,$C$6*(1+$C$11)^9)</x:f>
        <x:v>1971.902738226813</x:v>
      </x:c>
      <x:c r="M43" s="4" t="n">
        <x:f>MIN($C$10,$C$6*(1+$C$11)^10)</x:f>
        <x:v>2011.3407929913492</x:v>
      </x:c>
      <x:c r="N43" s="4" t="n">
        <x:f>MIN($C$10,$C$6*(1+$C$11)^11)</x:f>
        <x:v>2051.567608851176</x:v>
      </x:c>
    </x:row>
    <x:row r="44" ht="31" customHeight="1">
      <x:c r="A44" s="10" t="str">
        <x:v>Net unit price</x:v>
      </x:c>
      <x:c r="B44" s="4"/>
      <x:c r="C44" s="4" t="n">
        <x:f>$C$7*(1+$C$34)^0</x:f>
        <x:v>1400</x:v>
      </x:c>
      <x:c r="D44" s="4" t="n">
        <x:f>$C$7*(1+$C$34)^1</x:f>
        <x:v>1400</x:v>
      </x:c>
      <x:c r="E44" s="4" t="n">
        <x:f>$C$7*(1+$C$34)^2</x:f>
        <x:v>1400</x:v>
      </x:c>
      <x:c r="F44" s="4" t="n">
        <x:f>$C$7*(1+$C$34)^3</x:f>
        <x:v>1400</x:v>
      </x:c>
      <x:c r="G44" s="4" t="n">
        <x:f>$C$7*(1+$C$34)^4</x:f>
        <x:v>1400</x:v>
      </x:c>
      <x:c r="H44" s="4" t="n">
        <x:f>$C$7*(1+$C$34)^5</x:f>
        <x:v>1400</x:v>
      </x:c>
      <x:c r="I44" s="4" t="n">
        <x:f>$C$7*(1+$C$34)^6</x:f>
        <x:v>1400</x:v>
      </x:c>
      <x:c r="J44" s="4" t="n">
        <x:f>$C$7*(1+$C$34)^7</x:f>
        <x:v>1400</x:v>
      </x:c>
      <x:c r="K44" s="4" t="n">
        <x:f>$C$7*(1+$C$34)^8</x:f>
        <x:v>1400</x:v>
      </x:c>
      <x:c r="L44" s="4" t="n">
        <x:f>$C$7*(1+$C$34)^9</x:f>
        <x:v>1400</x:v>
      </x:c>
      <x:c r="M44" s="4" t="n">
        <x:f>$C$7*(1+$C$34)^10</x:f>
        <x:v>1400</x:v>
      </x:c>
      <x:c r="N44" s="4" t="n">
        <x:f>$C$7*(1+$C$34)^11</x:f>
        <x:v>1400</x:v>
      </x:c>
    </x:row>
    <x:row r="45" ht="31" customHeight="1">
      <x:c r="A45" s="23" t="str">
        <x:v>Net revenue</x:v>
      </x:c>
      <x:c r="B45" s="22"/>
      <x:c r="C45" s="22" t="n">
        <x:f>C43*C44</x:f>
        <x:v>2310000</x:v>
      </x:c>
      <x:c r="D45" s="22" t="n">
        <x:f>D43*D44</x:f>
        <x:v>2356200</x:v>
      </x:c>
      <x:c r="E45" s="22" t="n">
        <x:f>E43*E44</x:f>
        <x:v>2403324</x:v>
      </x:c>
      <x:c r="F45" s="22" t="n">
        <x:f>F43*F44</x:f>
        <x:v>2451390.48</x:v>
      </x:c>
      <x:c r="G45" s="22" t="n">
        <x:f>G43*G44</x:f>
        <x:v>2500418.2896</x:v>
      </x:c>
      <x:c r="H45" s="22" t="n">
        <x:f>H43*H44</x:f>
        <x:v>2550426.655392</x:v>
      </x:c>
      <x:c r="I45" s="22" t="n">
        <x:f>I43*I44</x:f>
        <x:v>2601435.1884998404</x:v>
      </x:c>
      <x:c r="J45" s="22" t="n">
        <x:f>J43*J44</x:f>
        <x:v>2653463.8922698367</x:v>
      </x:c>
      <x:c r="K45" s="22" t="n">
        <x:f>K43*K44</x:f>
        <x:v>2706533.1701152334</x:v>
      </x:c>
      <x:c r="L45" s="22" t="n">
        <x:f>L43*L44</x:f>
        <x:v>2760663.8335175384</x:v>
      </x:c>
      <x:c r="M45" s="22" t="n">
        <x:f>M43*M44</x:f>
        <x:v>2815877.110187889</x:v>
      </x:c>
      <x:c r="N45" s="22" t="n">
        <x:f>N43*N44</x:f>
        <x:v>2872194.652391646</x:v>
      </x:c>
    </x:row>
    <x:row r="46" ht="31" customHeight="1">
      <x:c r="A46" s="10" t="str">
        <x:v>Variable cost per unit</x:v>
      </x:c>
      <x:c r="B46" s="4"/>
      <x:c r="C46" s="4" t="n">
        <x:f>$C$8</x:f>
        <x:v>460</x:v>
      </x:c>
      <x:c r="D46" s="4" t="n">
        <x:f>$C$8</x:f>
        <x:v>460</x:v>
      </x:c>
      <x:c r="E46" s="4" t="n">
        <x:f>$C$8</x:f>
        <x:v>460</x:v>
      </x:c>
      <x:c r="F46" s="4" t="n">
        <x:f>$C$8</x:f>
        <x:v>460</x:v>
      </x:c>
      <x:c r="G46" s="4" t="n">
        <x:f>$C$8</x:f>
        <x:v>460</x:v>
      </x:c>
      <x:c r="H46" s="4" t="n">
        <x:f>$C$8</x:f>
        <x:v>460</x:v>
      </x:c>
      <x:c r="I46" s="4" t="n">
        <x:f>$C$8</x:f>
        <x:v>460</x:v>
      </x:c>
      <x:c r="J46" s="4" t="n">
        <x:f>$C$8</x:f>
        <x:v>460</x:v>
      </x:c>
      <x:c r="K46" s="4" t="n">
        <x:f>$C$8</x:f>
        <x:v>460</x:v>
      </x:c>
      <x:c r="L46" s="4" t="n">
        <x:f>$C$8</x:f>
        <x:v>460</x:v>
      </x:c>
      <x:c r="M46" s="4" t="n">
        <x:f>$C$8</x:f>
        <x:v>460</x:v>
      </x:c>
      <x:c r="N46" s="4" t="n">
        <x:f>$C$8</x:f>
        <x:v>460</x:v>
      </x:c>
    </x:row>
    <x:row r="47" ht="31" customHeight="1">
      <x:c r="A47" s="10" t="str">
        <x:v>Variable cash cost</x:v>
      </x:c>
      <x:c r="B47" s="4"/>
      <x:c r="C47" s="4" t="n">
        <x:f>C43*C46</x:f>
        <x:v>759000</x:v>
      </x:c>
      <x:c r="D47" s="4" t="n">
        <x:f>D43*D46</x:f>
        <x:v>774180</x:v>
      </x:c>
      <x:c r="E47" s="4" t="n">
        <x:f>E43*E46</x:f>
        <x:v>789663.6000000001</x:v>
      </x:c>
      <x:c r="F47" s="4" t="n">
        <x:f>F43*F46</x:f>
        <x:v>805456.872</x:v>
      </x:c>
      <x:c r="G47" s="4" t="n">
        <x:f>G43*G46</x:f>
        <x:v>821566.0094399999</x:v>
      </x:c>
      <x:c r="H47" s="4" t="n">
        <x:f>H43*H46</x:f>
        <x:v>837997.3296287999</x:v>
      </x:c>
      <x:c r="I47" s="4" t="n">
        <x:f>I43*I46</x:f>
        <x:v>854757.276221376</x:v>
      </x:c>
      <x:c r="J47" s="4" t="n">
        <x:f>J43*J46</x:f>
        <x:v>871852.4217458034</x:v>
      </x:c>
      <x:c r="K47" s="4" t="n">
        <x:f>K43*K46</x:f>
        <x:v>889289.4701807195</x:v>
      </x:c>
      <x:c r="L47" s="4" t="n">
        <x:f>L43*L46</x:f>
        <x:v>907075.259584334</x:v>
      </x:c>
      <x:c r="M47" s="4" t="n">
        <x:f>M43*M46</x:f>
        <x:v>925216.7647760207</x:v>
      </x:c>
      <x:c r="N47" s="4" t="n">
        <x:f>N43*N46</x:f>
        <x:v>943721.1000715409</x:v>
      </x:c>
    </x:row>
    <x:row r="48" ht="31" customHeight="1">
      <x:c r="A48" s="10" t="str">
        <x:v>Contribution</x:v>
      </x:c>
      <x:c r="B48" s="4"/>
      <x:c r="C48" s="4" t="n">
        <x:f>C45-C47</x:f>
        <x:v>1551000</x:v>
      </x:c>
      <x:c r="D48" s="4" t="n">
        <x:f>D45-D47</x:f>
        <x:v>1582020</x:v>
      </x:c>
      <x:c r="E48" s="4" t="n">
        <x:f>E45-E47</x:f>
        <x:v>1613660.4</x:v>
      </x:c>
      <x:c r="F48" s="4" t="n">
        <x:f>F45-F47</x:f>
        <x:v>1645933.608</x:v>
      </x:c>
      <x:c r="G48" s="4" t="n">
        <x:f>G45-G47</x:f>
        <x:v>1678852.2801599998</x:v>
      </x:c>
      <x:c r="H48" s="4" t="n">
        <x:f>H45-H47</x:f>
        <x:v>1712429.3257632</x:v>
      </x:c>
      <x:c r="I48" s="4" t="n">
        <x:f>I45-I47</x:f>
        <x:v>1746677.9122784645</x:v>
      </x:c>
      <x:c r="J48" s="4" t="n">
        <x:f>J45-J47</x:f>
        <x:v>1781611.4705240333</x:v>
      </x:c>
      <x:c r="K48" s="4" t="n">
        <x:f>K45-K47</x:f>
        <x:v>1817243.6999345138</x:v>
      </x:c>
      <x:c r="L48" s="4" t="n">
        <x:f>L45-L47</x:f>
        <x:v>1853588.5739332044</x:v>
      </x:c>
      <x:c r="M48" s="4" t="n">
        <x:f>M45-M47</x:f>
        <x:v>1890660.3454118683</x:v>
      </x:c>
      <x:c r="N48" s="4" t="n">
        <x:f>N45-N47</x:f>
        <x:v>1928473.552320105</x:v>
      </x:c>
    </x:row>
    <x:row r="49" ht="31" customHeight="1">
      <x:c r="A49" s="10" t="str">
        <x:v>Fixed cash costs</x:v>
      </x:c>
      <x:c r="B49" s="4"/>
      <x:c r="C49" s="4" t="n">
        <x:f>$C$9*(1+$C$12)^0</x:f>
        <x:v>1050000</x:v>
      </x:c>
      <x:c r="D49" s="4" t="n">
        <x:f>$C$9*(1+$C$12)^1</x:f>
        <x:v>1053150</x:v>
      </x:c>
      <x:c r="E49" s="4" t="n">
        <x:f>$C$9*(1+$C$12)^2</x:f>
        <x:v>1056309.4499999997</x:v>
      </x:c>
      <x:c r="F49" s="4" t="n">
        <x:f>$C$9*(1+$C$12)^3</x:f>
        <x:v>1059478.3783499997</x:v>
      </x:c>
      <x:c r="G49" s="4" t="n">
        <x:f>$C$9*(1+$C$12)^4</x:f>
        <x:v>1062656.8134850494</x:v>
      </x:c>
      <x:c r="H49" s="4" t="n">
        <x:f>$C$9*(1+$C$12)^5</x:f>
        <x:v>1065844.7839255047</x:v>
      </x:c>
      <x:c r="I49" s="4" t="n">
        <x:f>$C$9*(1+$C$12)^6</x:f>
        <x:v>1069042.3182772808</x:v>
      </x:c>
      <x:c r="J49" s="4" t="n">
        <x:f>$C$9*(1+$C$12)^7</x:f>
        <x:v>1072249.4452321127</x:v>
      </x:c>
      <x:c r="K49" s="4" t="n">
        <x:f>$C$9*(1+$C$12)^8</x:f>
        <x:v>1075466.1935678087</x:v>
      </x:c>
      <x:c r="L49" s="4" t="n">
        <x:f>$C$9*(1+$C$12)^9</x:f>
        <x:v>1078692.592148512</x:v>
      </x:c>
      <x:c r="M49" s="4" t="n">
        <x:f>$C$9*(1+$C$12)^10</x:f>
        <x:v>1081928.6699249574</x:v>
      </x:c>
      <x:c r="N49" s="4" t="n">
        <x:f>$C$9*(1+$C$12)^11</x:f>
        <x:v>1085174.4559347322</x:v>
      </x:c>
    </x:row>
    <x:row r="50" ht="31" customHeight="1">
      <x:c r="A50" s="23" t="str">
        <x:v>Operating cash profit (EBITDA)</x:v>
      </x:c>
      <x:c r="B50" s="22"/>
      <x:c r="C50" s="22" t="n">
        <x:f>C48-C49</x:f>
        <x:v>501000</x:v>
      </x:c>
      <x:c r="D50" s="22" t="n">
        <x:f>D48-D49</x:f>
        <x:v>528870</x:v>
      </x:c>
      <x:c r="E50" s="22" t="n">
        <x:f>E48-E49</x:f>
        <x:v>557350.9500000002</x:v>
      </x:c>
      <x:c r="F50" s="22" t="n">
        <x:f>F48-F49</x:f>
        <x:v>586455.2296500003</x:v>
      </x:c>
      <x:c r="G50" s="22" t="n">
        <x:f>G48-G49</x:f>
        <x:v>616195.4666749504</x:v>
      </x:c>
      <x:c r="H50" s="22" t="n">
        <x:f>H48-H49</x:f>
        <x:v>646584.5418376953</x:v>
      </x:c>
      <x:c r="I50" s="22" t="n">
        <x:f>I48-I49</x:f>
        <x:v>677635.5940011838</x:v>
      </x:c>
      <x:c r="J50" s="22" t="n">
        <x:f>J48-J49</x:f>
        <x:v>709362.0252919206</x:v>
      </x:c>
      <x:c r="K50" s="22" t="n">
        <x:f>K48-K49</x:f>
        <x:v>741777.506366705</x:v>
      </x:c>
      <x:c r="L50" s="22" t="n">
        <x:f>L48-L49</x:f>
        <x:v>774895.9817846925</x:v>
      </x:c>
      <x:c r="M50" s="22" t="n">
        <x:f>M48-M49</x:f>
        <x:v>808731.6754869109</x:v>
      </x:c>
      <x:c r="N50" s="22" t="n">
        <x:f>N48-N49</x:f>
        <x:v>843299.0963853728</x:v>
      </x:c>
    </x:row>
    <x:row r="51" ht="31" customHeight="1">
      <x:c r="A51" s="10" t="str">
        <x:v>Planning depreciation</x:v>
      </x:c>
      <x:c r="B51" s="4"/>
      <x:c r="C51" s="4" t="n">
        <x:f>$C$13/$C$33/$C$30</x:f>
        <x:v>125000</x:v>
      </x:c>
      <x:c r="D51" s="4" t="n">
        <x:f>$C$13/$C$33/$C$30</x:f>
        <x:v>125000</x:v>
      </x:c>
      <x:c r="E51" s="4" t="n">
        <x:f>$C$13/$C$33/$C$30</x:f>
        <x:v>125000</x:v>
      </x:c>
      <x:c r="F51" s="4" t="n">
        <x:f>$C$13/$C$33/$C$30</x:f>
        <x:v>125000</x:v>
      </x:c>
      <x:c r="G51" s="4" t="n">
        <x:f>$C$13/$C$33/$C$30</x:f>
        <x:v>125000</x:v>
      </x:c>
      <x:c r="H51" s="4" t="n">
        <x:f>$C$13/$C$33/$C$30</x:f>
        <x:v>125000</x:v>
      </x:c>
      <x:c r="I51" s="4" t="n">
        <x:f>$C$13/$C$33/$C$30</x:f>
        <x:v>125000</x:v>
      </x:c>
      <x:c r="J51" s="4" t="n">
        <x:f>$C$13/$C$33/$C$30</x:f>
        <x:v>125000</x:v>
      </x:c>
      <x:c r="K51" s="4" t="n">
        <x:f>$C$13/$C$33/$C$30</x:f>
        <x:v>125000</x:v>
      </x:c>
      <x:c r="L51" s="4" t="n">
        <x:f>$C$13/$C$33/$C$30</x:f>
        <x:v>125000</x:v>
      </x:c>
      <x:c r="M51" s="4" t="n">
        <x:f>$C$13/$C$33/$C$30</x:f>
        <x:v>125000</x:v>
      </x:c>
      <x:c r="N51" s="4" t="n">
        <x:f>$C$13/$C$33/$C$30</x:f>
        <x:v>125000</x:v>
      </x:c>
    </x:row>
    <x:row r="52" ht="31" customHeight="1">
      <x:c r="A52" s="10" t="str">
        <x:v>Operating profit (EBIT)</x:v>
      </x:c>
      <x:c r="B52" s="4"/>
      <x:c r="C52" s="4" t="n">
        <x:f>C50-C51</x:f>
        <x:v>376000</x:v>
      </x:c>
      <x:c r="D52" s="4" t="n">
        <x:f>D50-D51</x:f>
        <x:v>403870</x:v>
      </x:c>
      <x:c r="E52" s="4" t="n">
        <x:f>E50-E51</x:f>
        <x:v>432350.9500000002</x:v>
      </x:c>
      <x:c r="F52" s="4" t="n">
        <x:f>F50-F51</x:f>
        <x:v>461455.22965000034</x:v>
      </x:c>
      <x:c r="G52" s="4" t="n">
        <x:f>G50-G51</x:f>
        <x:v>491195.46667495044</x:v>
      </x:c>
      <x:c r="H52" s="4" t="n">
        <x:f>H50-H51</x:f>
        <x:v>521584.5418376953</x:v>
      </x:c>
      <x:c r="I52" s="4" t="n">
        <x:f>I50-I51</x:f>
        <x:v>552635.5940011838</x:v>
      </x:c>
      <x:c r="J52" s="4" t="n">
        <x:f>J50-J51</x:f>
        <x:v>584362.0252919206</x:v>
      </x:c>
      <x:c r="K52" s="4" t="n">
        <x:f>K50-K51</x:f>
        <x:v>616777.506366705</x:v>
      </x:c>
      <x:c r="L52" s="4" t="n">
        <x:f>L50-L51</x:f>
        <x:v>649895.9817846925</x:v>
      </x:c>
      <x:c r="M52" s="4" t="n">
        <x:f>M50-M51</x:f>
        <x:v>683731.6754869109</x:v>
      </x:c>
      <x:c r="N52" s="4" t="n">
        <x:f>N50-N51</x:f>
        <x:v>718299.0963853728</x:v>
      </x:c>
    </x:row>
    <x:row r="53" ht="31" customHeight="1">
      <x:c r="A53" s="10" t="str">
        <x:v>Receivables</x:v>
      </x:c>
      <x:c r="B53" s="4"/>
      <x:c r="C53" s="4" t="n">
        <x:f>C45*$C$16/$C$29</x:f>
        <x:v>3465000</x:v>
      </x:c>
      <x:c r="D53" s="4" t="n">
        <x:f>D45*$C$16/$C$29</x:f>
        <x:v>3534300</x:v>
      </x:c>
      <x:c r="E53" s="4" t="n">
        <x:f>E45*$C$16/$C$29</x:f>
        <x:v>3604986</x:v>
      </x:c>
      <x:c r="F53" s="4" t="n">
        <x:f>F45*$C$16/$C$29</x:f>
        <x:v>3677085.7199999997</x:v>
      </x:c>
      <x:c r="G53" s="4" t="n">
        <x:f>G45*$C$16/$C$29</x:f>
        <x:v>3750627.4343999997</x:v>
      </x:c>
      <x:c r="H53" s="4" t="n">
        <x:f>H45*$C$16/$C$29</x:f>
        <x:v>3825639.983088</x:v>
      </x:c>
      <x:c r="I53" s="4" t="n">
        <x:f>I45*$C$16/$C$29</x:f>
        <x:v>3902152.7827497604</x:v>
      </x:c>
      <x:c r="J53" s="4" t="n">
        <x:f>J45*$C$16/$C$29</x:f>
        <x:v>3980195.838404755</x:v>
      </x:c>
      <x:c r="K53" s="4" t="n">
        <x:f>K45*$C$16/$C$29</x:f>
        <x:v>4059799.75517285</x:v>
      </x:c>
      <x:c r="L53" s="4" t="n">
        <x:f>L45*$C$16/$C$29</x:f>
        <x:v>4140995.7502763076</x:v>
      </x:c>
      <x:c r="M53" s="4" t="n">
        <x:f>M45*$C$16/$C$29</x:f>
        <x:v>4223815.665281834</x:v>
      </x:c>
      <x:c r="N53" s="4" t="n">
        <x:f>N45*$C$16/$C$29</x:f>
        <x:v>4308291.978587469</x:v>
      </x:c>
    </x:row>
    <x:row r="54" ht="31" customHeight="1">
      <x:c r="A54" s="10" t="str">
        <x:v>Own inventory</x:v>
      </x:c>
      <x:c r="B54" s="4"/>
      <x:c r="C54" s="4" t="n">
        <x:f>C47*$C$31*$C$17/$C$29</x:f>
        <x:v>303600</x:v>
      </x:c>
      <x:c r="D54" s="4" t="n">
        <x:f>D47*$C$31*$C$17/$C$29</x:f>
        <x:v>309672</x:v>
      </x:c>
      <x:c r="E54" s="4" t="n">
        <x:f>E47*$C$31*$C$17/$C$29</x:f>
        <x:v>315865.44000000006</x:v>
      </x:c>
      <x:c r="F54" s="4" t="n">
        <x:f>F47*$C$31*$C$17/$C$29</x:f>
        <x:v>322182.7488</x:v>
      </x:c>
      <x:c r="G54" s="4" t="n">
        <x:f>G47*$C$31*$C$17/$C$29</x:f>
        <x:v>328626.40377599996</x:v>
      </x:c>
      <x:c r="H54" s="4" t="n">
        <x:f>H47*$C$31*$C$17/$C$29</x:f>
        <x:v>335198.93185151997</x:v>
      </x:c>
      <x:c r="I54" s="4" t="n">
        <x:f>I47*$C$31*$C$17/$C$29</x:f>
        <x:v>341902.9104885504</x:v>
      </x:c>
      <x:c r="J54" s="4" t="n">
        <x:f>J47*$C$31*$C$17/$C$29</x:f>
        <x:v>348740.96869832143</x:v>
      </x:c>
      <x:c r="K54" s="4" t="n">
        <x:f>K47*$C$31*$C$17/$C$29</x:f>
        <x:v>355715.7880722878</x:v>
      </x:c>
      <x:c r="L54" s="4" t="n">
        <x:f>L47*$C$31*$C$17/$C$29</x:f>
        <x:v>362830.10383373365</x:v>
      </x:c>
      <x:c r="M54" s="4" t="n">
        <x:f>M47*$C$31*$C$17/$C$29</x:f>
        <x:v>370086.7059104082</x:v>
      </x:c>
      <x:c r="N54" s="4" t="n">
        <x:f>N47*$C$31*$C$17/$C$29</x:f>
        <x:v>377488.4400286164</x:v>
      </x:c>
    </x:row>
    <x:row r="55" ht="31" customHeight="1">
      <x:c r="A55" s="10" t="str">
        <x:v>Supplier payables</x:v>
      </x:c>
      <x:c r="B55" s="4"/>
      <x:c r="C55" s="4" t="n">
        <x:f>C47*$C$32*$C$18/$C$29</x:f>
        <x:v>442750</x:v>
      </x:c>
      <x:c r="D55" s="4" t="n">
        <x:f>D47*$C$32*$C$18/$C$29</x:f>
        <x:v>451605</x:v>
      </x:c>
      <x:c r="E55" s="4" t="n">
        <x:f>E47*$C$32*$C$18/$C$29</x:f>
        <x:v>460637.1</x:v>
      </x:c>
      <x:c r="F55" s="4" t="n">
        <x:f>F47*$C$32*$C$18/$C$29</x:f>
        <x:v>469849.842</x:v>
      </x:c>
      <x:c r="G55" s="4" t="n">
        <x:f>G47*$C$32*$C$18/$C$29</x:f>
        <x:v>479246.8388399999</x:v>
      </x:c>
      <x:c r="H55" s="4" t="n">
        <x:f>H47*$C$32*$C$18/$C$29</x:f>
        <x:v>488831.7756167999</x:v>
      </x:c>
      <x:c r="I55" s="4" t="n">
        <x:f>I47*$C$32*$C$18/$C$29</x:f>
        <x:v>498608.411129136</x:v>
      </x:c>
      <x:c r="J55" s="4" t="n">
        <x:f>J47*$C$32*$C$18/$C$29</x:f>
        <x:v>508580.57935171865</x:v>
      </x:c>
      <x:c r="K55" s="4" t="n">
        <x:f>K47*$C$32*$C$18/$C$29</x:f>
        <x:v>518752.190938753</x:v>
      </x:c>
      <x:c r="L55" s="4" t="n">
        <x:f>L47*$C$32*$C$18/$C$29</x:f>
        <x:v>529127.2347575282</x:v>
      </x:c>
      <x:c r="M55" s="4" t="n">
        <x:f>M47*$C$32*$C$18/$C$29</x:f>
        <x:v>539709.7794526787</x:v>
      </x:c>
      <x:c r="N55" s="4" t="n">
        <x:f>N47*$C$32*$C$18/$C$29</x:f>
        <x:v>550503.9750417322</x:v>
      </x:c>
    </x:row>
    <x:row r="56" ht="31" customHeight="1">
      <x:c r="A56" s="23" t="str">
        <x:v>Net working capital</x:v>
      </x:c>
      <x:c r="B56" s="22"/>
      <x:c r="C56" s="22" t="n">
        <x:f>C53+C54-C55</x:f>
        <x:v>3325850</x:v>
      </x:c>
      <x:c r="D56" s="22" t="n">
        <x:f>D53+D54-D55</x:f>
        <x:v>3392367</x:v>
      </x:c>
      <x:c r="E56" s="22" t="n">
        <x:f>E53+E54-E55</x:f>
        <x:v>3460214.34</x:v>
      </x:c>
      <x:c r="F56" s="22" t="n">
        <x:f>F53+F54-F55</x:f>
        <x:v>3529418.6267999997</x:v>
      </x:c>
      <x:c r="G56" s="22" t="n">
        <x:f>G53+G54-G55</x:f>
        <x:v>3600006.9993359996</x:v>
      </x:c>
      <x:c r="H56" s="22" t="n">
        <x:f>H53+H54-H55</x:f>
        <x:v>3672007.13932272</x:v>
      </x:c>
      <x:c r="I56" s="22" t="n">
        <x:f>I53+I54-I55</x:f>
        <x:v>3745447.2821091744</x:v>
      </x:c>
      <x:c r="J56" s="22" t="n">
        <x:f>J53+J54-J55</x:f>
        <x:v>3820356.2277513584</x:v>
      </x:c>
      <x:c r="K56" s="22" t="n">
        <x:f>K53+K54-K55</x:f>
        <x:v>3896763.3523063846</x:v>
      </x:c>
      <x:c r="L56" s="22" t="n">
        <x:f>L53+L54-L55</x:f>
        <x:v>3974698.6193525135</x:v>
      </x:c>
      <x:c r="M56" s="22" t="n">
        <x:f>M53+M54-M55</x:f>
        <x:v>4054192.5917395633</x:v>
      </x:c>
      <x:c r="N56" s="22" t="n">
        <x:f>N53+N54-N55</x:f>
        <x:v>4135276.443574353</x:v>
      </x:c>
    </x:row>
    <x:row r="57" ht="31" customHeight="1">
      <x:c r="A57" s="10" t="str">
        <x:v>Increase in working capital</x:v>
      </x:c>
      <x:c r="B57" s="4"/>
      <x:c r="C57" s="4" t="n">
        <x:f>C56</x:f>
        <x:v>3325850</x:v>
      </x:c>
      <x:c r="D57" s="4" t="n">
        <x:f>D56-C56</x:f>
        <x:v>66517</x:v>
      </x:c>
      <x:c r="E57" s="4" t="n">
        <x:f>E56-D56</x:f>
        <x:v>67847.33999999985</x:v>
      </x:c>
      <x:c r="F57" s="4" t="n">
        <x:f>F56-E56</x:f>
        <x:v>69204.28679999989</x:v>
      </x:c>
      <x:c r="G57" s="4" t="n">
        <x:f>G56-F56</x:f>
        <x:v>70588.37253599986</x:v>
      </x:c>
      <x:c r="H57" s="4" t="n">
        <x:f>H56-G56</x:f>
        <x:v>72000.1399867204</x:v>
      </x:c>
      <x:c r="I57" s="4" t="n">
        <x:f>I56-H56</x:f>
        <x:v>73440.14278645441</x:v>
      </x:c>
      <x:c r="J57" s="4" t="n">
        <x:f>J56-I56</x:f>
        <x:v>74908.945642184</x:v>
      </x:c>
      <x:c r="K57" s="4" t="n">
        <x:f>K56-J56</x:f>
        <x:v>76407.12455502618</x:v>
      </x:c>
      <x:c r="L57" s="4" t="n">
        <x:f>L56-K56</x:f>
        <x:v>77935.26704612887</x:v>
      </x:c>
      <x:c r="M57" s="4" t="n">
        <x:f>M56-L56</x:f>
        <x:v>79493.97238704981</x:v>
      </x:c>
      <x:c r="N57" s="4" t="n">
        <x:f>N56-M56</x:f>
        <x:v>81083.85183478985</x:v>
      </x:c>
    </x:row>
    <x:row r="58" ht="31" customHeight="1">
      <x:c r="A58" s="10" t="str">
        <x:v>Opening debt</x:v>
      </x:c>
      <x:c r="B58" s="4"/>
      <x:c r="C58" s="4" t="n">
        <x:f>$C$19</x:f>
        <x:v>4500000</x:v>
      </x:c>
      <x:c r="D58" s="4" t="n">
        <x:f>C61</x:f>
        <x:v>4425000</x:v>
      </x:c>
      <x:c r="E58" s="4" t="n">
        <x:f>D61</x:f>
        <x:v>4350000</x:v>
      </x:c>
      <x:c r="F58" s="4" t="n">
        <x:f>E61</x:f>
        <x:v>4275000</x:v>
      </x:c>
      <x:c r="G58" s="4" t="n">
        <x:f>F61</x:f>
        <x:v>4200000</x:v>
      </x:c>
      <x:c r="H58" s="4" t="n">
        <x:f>G61</x:f>
        <x:v>4125000</x:v>
      </x:c>
      <x:c r="I58" s="4" t="n">
        <x:f>H61</x:f>
        <x:v>4050000</x:v>
      </x:c>
      <x:c r="J58" s="4" t="n">
        <x:f>I61</x:f>
        <x:v>3975000</x:v>
      </x:c>
      <x:c r="K58" s="4" t="n">
        <x:f>J61</x:f>
        <x:v>3900000</x:v>
      </x:c>
      <x:c r="L58" s="4" t="n">
        <x:f>K61</x:f>
        <x:v>3825000</x:v>
      </x:c>
      <x:c r="M58" s="4" t="n">
        <x:f>L61</x:f>
        <x:v>3750000</x:v>
      </x:c>
      <x:c r="N58" s="4" t="n">
        <x:f>M61</x:f>
        <x:v>3675000</x:v>
      </x:c>
    </x:row>
    <x:row r="59" ht="31" customHeight="1">
      <x:c r="A59" s="10" t="str">
        <x:v>Interest cash</x:v>
      </x:c>
      <x:c r="B59" s="4"/>
      <x:c r="C59" s="4" t="n">
        <x:f>C58*$C$20/$C$30</x:f>
        <x:v>45000</x:v>
      </x:c>
      <x:c r="D59" s="4" t="n">
        <x:f>D58*$C$20/$C$30</x:f>
        <x:v>44250</x:v>
      </x:c>
      <x:c r="E59" s="4" t="n">
        <x:f>E58*$C$20/$C$30</x:f>
        <x:v>43500</x:v>
      </x:c>
      <x:c r="F59" s="4" t="n">
        <x:f>F58*$C$20/$C$30</x:f>
        <x:v>42750</x:v>
      </x:c>
      <x:c r="G59" s="4" t="n">
        <x:f>G58*$C$20/$C$30</x:f>
        <x:v>42000</x:v>
      </x:c>
      <x:c r="H59" s="4" t="n">
        <x:f>H58*$C$20/$C$30</x:f>
        <x:v>41250</x:v>
      </x:c>
      <x:c r="I59" s="4" t="n">
        <x:f>I58*$C$20/$C$30</x:f>
        <x:v>40500</x:v>
      </x:c>
      <x:c r="J59" s="4" t="n">
        <x:f>J58*$C$20/$C$30</x:f>
        <x:v>39750</x:v>
      </x:c>
      <x:c r="K59" s="4" t="n">
        <x:f>K58*$C$20/$C$30</x:f>
        <x:v>39000</x:v>
      </x:c>
      <x:c r="L59" s="4" t="n">
        <x:f>L58*$C$20/$C$30</x:f>
        <x:v>38250</x:v>
      </x:c>
      <x:c r="M59" s="4" t="n">
        <x:f>M58*$C$20/$C$30</x:f>
        <x:v>37500</x:v>
      </x:c>
      <x:c r="N59" s="4" t="n">
        <x:f>N58*$C$20/$C$30</x:f>
        <x:v>36750</x:v>
      </x:c>
    </x:row>
    <x:row r="60" ht="31" customHeight="1">
      <x:c r="A60" s="10" t="str">
        <x:v>Principal repayment</x:v>
      </x:c>
      <x:c r="B60" s="4"/>
      <x:c r="C60" s="4" t="n">
        <x:f>MIN(C58,$C$19/$C$21)</x:f>
        <x:v>75000</x:v>
      </x:c>
      <x:c r="D60" s="4" t="n">
        <x:f>MIN(D58,$C$19/$C$21)</x:f>
        <x:v>75000</x:v>
      </x:c>
      <x:c r="E60" s="4" t="n">
        <x:f>MIN(E58,$C$19/$C$21)</x:f>
        <x:v>75000</x:v>
      </x:c>
      <x:c r="F60" s="4" t="n">
        <x:f>MIN(F58,$C$19/$C$21)</x:f>
        <x:v>75000</x:v>
      </x:c>
      <x:c r="G60" s="4" t="n">
        <x:f>MIN(G58,$C$19/$C$21)</x:f>
        <x:v>75000</x:v>
      </x:c>
      <x:c r="H60" s="4" t="n">
        <x:f>MIN(H58,$C$19/$C$21)</x:f>
        <x:v>75000</x:v>
      </x:c>
      <x:c r="I60" s="4" t="n">
        <x:f>MIN(I58,$C$19/$C$21)</x:f>
        <x:v>75000</x:v>
      </x:c>
      <x:c r="J60" s="4" t="n">
        <x:f>MIN(J58,$C$19/$C$21)</x:f>
        <x:v>75000</x:v>
      </x:c>
      <x:c r="K60" s="4" t="n">
        <x:f>MIN(K58,$C$19/$C$21)</x:f>
        <x:v>75000</x:v>
      </x:c>
      <x:c r="L60" s="4" t="n">
        <x:f>MIN(L58,$C$19/$C$21)</x:f>
        <x:v>75000</x:v>
      </x:c>
      <x:c r="M60" s="4" t="n">
        <x:f>MIN(M58,$C$19/$C$21)</x:f>
        <x:v>75000</x:v>
      </x:c>
      <x:c r="N60" s="4" t="n">
        <x:f>MIN(N58,$C$19/$C$21)</x:f>
        <x:v>75000</x:v>
      </x:c>
    </x:row>
    <x:row r="61" ht="31" customHeight="1">
      <x:c r="A61" s="10" t="str">
        <x:v>Closing debt</x:v>
      </x:c>
      <x:c r="B61" s="4"/>
      <x:c r="C61" s="4" t="n">
        <x:f>C58-C60</x:f>
        <x:v>4425000</x:v>
      </x:c>
      <x:c r="D61" s="4" t="n">
        <x:f>D58-D60</x:f>
        <x:v>4350000</x:v>
      </x:c>
      <x:c r="E61" s="4" t="n">
        <x:f>E58-E60</x:f>
        <x:v>4275000</x:v>
      </x:c>
      <x:c r="F61" s="4" t="n">
        <x:f>F58-F60</x:f>
        <x:v>4200000</x:v>
      </x:c>
      <x:c r="G61" s="4" t="n">
        <x:f>G58-G60</x:f>
        <x:v>4125000</x:v>
      </x:c>
      <x:c r="H61" s="4" t="n">
        <x:f>H58-H60</x:f>
        <x:v>4050000</x:v>
      </x:c>
      <x:c r="I61" s="4" t="n">
        <x:f>I58-I60</x:f>
        <x:v>3975000</x:v>
      </x:c>
      <x:c r="J61" s="4" t="n">
        <x:f>J58-J60</x:f>
        <x:v>3900000</x:v>
      </x:c>
      <x:c r="K61" s="4" t="n">
        <x:f>K58-K60</x:f>
        <x:v>3825000</x:v>
      </x:c>
      <x:c r="L61" s="4" t="n">
        <x:f>L58-L60</x:f>
        <x:v>3750000</x:v>
      </x:c>
      <x:c r="M61" s="4" t="n">
        <x:f>M58-M60</x:f>
        <x:v>3675000</x:v>
      </x:c>
      <x:c r="N61" s="4" t="n">
        <x:f>N58-N60</x:f>
        <x:v>3600000</x:v>
      </x:c>
    </x:row>
    <x:row r="62" ht="31" customHeight="1">
      <x:c r="A62" s="10" t="str">
        <x:v>Maintenance capital spend</x:v>
      </x:c>
      <x:c r="B62" s="4"/>
      <x:c r="C62" s="4" t="n">
        <x:f>$C$22</x:f>
        <x:v>15000</x:v>
      </x:c>
      <x:c r="D62" s="4" t="n">
        <x:f>$C$22</x:f>
        <x:v>15000</x:v>
      </x:c>
      <x:c r="E62" s="4" t="n">
        <x:f>$C$22</x:f>
        <x:v>15000</x:v>
      </x:c>
      <x:c r="F62" s="4" t="n">
        <x:f>$C$22</x:f>
        <x:v>15000</x:v>
      </x:c>
      <x:c r="G62" s="4" t="n">
        <x:f>$C$22</x:f>
        <x:v>15000</x:v>
      </x:c>
      <x:c r="H62" s="4" t="n">
        <x:f>$C$22</x:f>
        <x:v>15000</x:v>
      </x:c>
      <x:c r="I62" s="4" t="n">
        <x:f>$C$22</x:f>
        <x:v>15000</x:v>
      </x:c>
      <x:c r="J62" s="4" t="n">
        <x:f>$C$22</x:f>
        <x:v>15000</x:v>
      </x:c>
      <x:c r="K62" s="4" t="n">
        <x:f>$C$22</x:f>
        <x:v>15000</x:v>
      </x:c>
      <x:c r="L62" s="4" t="n">
        <x:f>$C$22</x:f>
        <x:v>15000</x:v>
      </x:c>
      <x:c r="M62" s="4" t="n">
        <x:f>$C$22</x:f>
        <x:v>15000</x:v>
      </x:c>
      <x:c r="N62" s="4" t="n">
        <x:f>$C$22</x:f>
        <x:v>15000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-2959850</x:v>
      </x:c>
      <x:c r="D66" s="22" t="n">
        <x:f>D50-D57-SUM(D59:D60)-SUM(D62:D65)</x:f>
        <x:v>328103</x:v>
      </x:c>
      <x:c r="E66" s="22" t="n">
        <x:f>E50-E57-SUM(E59:E60)-SUM(E62:E65)</x:f>
        <x:v>356003.61000000034</x:v>
      </x:c>
      <x:c r="F66" s="22" t="n">
        <x:f>F50-F57-SUM(F59:F60)-SUM(F62:F65)</x:f>
        <x:v>384500.94285000046</x:v>
      </x:c>
      <x:c r="G66" s="22" t="n">
        <x:f>G50-G57-SUM(G59:G60)-SUM(G62:G65)</x:f>
        <x:v>413607.0941389506</x:v>
      </x:c>
      <x:c r="H66" s="22" t="n">
        <x:f>H50-H57-SUM(H59:H60)-SUM(H62:H65)</x:f>
        <x:v>443334.4018509749</x:v>
      </x:c>
      <x:c r="I66" s="22" t="n">
        <x:f>I50-I57-SUM(I59:I60)-SUM(I62:I65)</x:f>
        <x:v>473695.45121472934</x:v>
      </x:c>
      <x:c r="J66" s="22" t="n">
        <x:f>J50-J57-SUM(J59:J60)-SUM(J62:J65)</x:f>
        <x:v>504703.07964973664</x:v>
      </x:c>
      <x:c r="K66" s="22" t="n">
        <x:f>K50-K57-SUM(K59:K60)-SUM(K62:K65)</x:f>
        <x:v>536370.3818116789</x:v>
      </x:c>
      <x:c r="L66" s="22" t="n">
        <x:f>L50-L57-SUM(L59:L60)-SUM(L62:L65)</x:f>
        <x:v>568710.7147385636</x:v>
      </x:c>
      <x:c r="M66" s="22" t="n">
        <x:f>M50-M57-SUM(M59:M60)-SUM(M62:M65)</x:f>
        <x:v>601737.703099861</x:v>
      </x:c>
      <x:c r="N66" s="22" t="n">
        <x:f>N50-N57-SUM(N59:N60)-SUM(N62:N65)</x:f>
        <x:v>635465.244550583</x:v>
      </x:c>
    </x:row>
    <x:row r="67" ht="31" customHeight="1">
      <x:c r="A67" s="10" t="str">
        <x:v>Opening cash</x:v>
      </x:c>
      <x:c r="B67" s="4"/>
      <x:c r="C67" s="4" t="n">
        <x:f>$C$15</x:f>
        <x:v>2200000</x:v>
      </x:c>
      <x:c r="D67" s="4" t="n">
        <x:f>C68</x:f>
        <x:v>-759850</x:v>
      </x:c>
      <x:c r="E67" s="4" t="n">
        <x:f>D68</x:f>
        <x:v>-431747</x:v>
      </x:c>
      <x:c r="F67" s="4" t="n">
        <x:f>E68</x:f>
        <x:v>-75743.38999999966</x:v>
      </x:c>
      <x:c r="G67" s="4" t="n">
        <x:f>F68</x:f>
        <x:v>308757.5528500008</x:v>
      </x:c>
      <x:c r="H67" s="4" t="n">
        <x:f>G68</x:f>
        <x:v>722364.6469889514</x:v>
      </x:c>
      <x:c r="I67" s="4" t="n">
        <x:f>H68</x:f>
        <x:v>1165699.0488399263</x:v>
      </x:c>
      <x:c r="J67" s="4" t="n">
        <x:f>I68</x:f>
        <x:v>1639394.5000546556</x:v>
      </x:c>
      <x:c r="K67" s="4" t="n">
        <x:f>J68</x:f>
        <x:v>2144097.5797043922</x:v>
      </x:c>
      <x:c r="L67" s="4" t="n">
        <x:f>K68</x:f>
        <x:v>2680467.961516071</x:v>
      </x:c>
      <x:c r="M67" s="4" t="n">
        <x:f>L68</x:f>
        <x:v>3249178.6762546347</x:v>
      </x:c>
      <x:c r="N67" s="4" t="n">
        <x:f>M68</x:f>
        <x:v>3850916.3793544956</x:v>
      </x:c>
    </x:row>
    <x:row r="68" ht="31" customHeight="1">
      <x:c r="A68" s="23" t="str">
        <x:v>Closing cash</x:v>
      </x:c>
      <x:c r="B68" s="22"/>
      <x:c r="C68" s="22" t="n">
        <x:f>C67+C66</x:f>
        <x:v>-759850</x:v>
      </x:c>
      <x:c r="D68" s="22" t="n">
        <x:f>D67+D66</x:f>
        <x:v>-431747</x:v>
      </x:c>
      <x:c r="E68" s="22" t="n">
        <x:f>E67+E66</x:f>
        <x:v>-75743.38999999966</x:v>
      </x:c>
      <x:c r="F68" s="22" t="n">
        <x:f>F67+F66</x:f>
        <x:v>308757.5528500008</x:v>
      </x:c>
      <x:c r="G68" s="22" t="n">
        <x:f>G67+G66</x:f>
        <x:v>722364.6469889514</x:v>
      </x:c>
      <x:c r="H68" s="22" t="n">
        <x:f>H67+H66</x:f>
        <x:v>1165699.0488399263</x:v>
      </x:c>
      <x:c r="I68" s="22" t="n">
        <x:f>I67+I66</x:f>
        <x:v>1639394.5000546556</x:v>
      </x:c>
      <x:c r="J68" s="22" t="n">
        <x:f>J67+J66</x:f>
        <x:v>2144097.5797043922</x:v>
      </x:c>
      <x:c r="K68" s="22" t="n">
        <x:f>K67+K66</x:f>
        <x:v>2680467.961516071</x:v>
      </x:c>
      <x:c r="L68" s="22" t="n">
        <x:f>L67+L66</x:f>
        <x:v>3249178.6762546347</x:v>
      </x:c>
      <x:c r="M68" s="22" t="n">
        <x:f>M67+M66</x:f>
        <x:v>3850916.3793544956</x:v>
      </x:c>
      <x:c r="N68" s="22" t="n">
        <x:f>N67+N66</x:f>
        <x:v>4486381.6239050785</x:v>
      </x:c>
    </x:row>
    <x:row r="69" ht="31" customHeight="1">
      <x:c r="A69" s="10" t="str">
        <x:v>Cash-buffer shortfall</x:v>
      </x:c>
      <x:c r="B69" s="4"/>
      <x:c r="C69" s="4" t="n">
        <x:f>MAX(0,$C$15-C68)</x:f>
        <x:v>2959850</x:v>
      </x:c>
      <x:c r="D69" s="4" t="n">
        <x:f>MAX(0,$C$15-D68)</x:f>
        <x:v>2631747</x:v>
      </x:c>
      <x:c r="E69" s="4" t="n">
        <x:f>MAX(0,$C$15-E68)</x:f>
        <x:v>2275743.3899999997</x:v>
      </x:c>
      <x:c r="F69" s="4" t="n">
        <x:f>MAX(0,$C$15-F68)</x:f>
        <x:v>1891242.4471499992</x:v>
      </x:c>
      <x:c r="G69" s="4" t="n">
        <x:f>MAX(0,$C$15-G68)</x:f>
        <x:v>1477635.3530110486</x:v>
      </x:c>
      <x:c r="H69" s="4" t="n">
        <x:f>MAX(0,$C$15-H68)</x:f>
        <x:v>1034300.9511600737</x:v>
      </x:c>
      <x:c r="I69" s="4" t="n">
        <x:f>MAX(0,$C$15-I68)</x:f>
        <x:v>560605.4999453444</x:v>
      </x:c>
      <x:c r="J69" s="4" t="n">
        <x:f>MAX(0,$C$15-J68)</x:f>
        <x:v>55902.420295607764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4.175</x:v>
      </x:c>
      <x:c r="D70" s="30" t="n">
        <x:f>IF(SUM(D59:D60)&gt;0,D50/SUM(D59:D60),"No debt")</x:f>
        <x:v>4.43496855345912</x:v>
      </x:c>
      <x:c r="E70" s="30" t="n">
        <x:f>IF(SUM(E59:E60)&gt;0,E50/SUM(E59:E60),"No debt")</x:f>
        <x:v>4.703383544303799</x:v>
      </x:c>
      <x:c r="F70" s="30" t="n">
        <x:f>IF(SUM(F59:F60)&gt;0,F50/SUM(F59:F60),"No debt")</x:f>
        <x:v>4.980511504458602</x:v>
      </x:c>
      <x:c r="G70" s="30" t="n">
        <x:f>IF(SUM(G59:G60)&gt;0,G50/SUM(G59:G60),"No debt")</x:f>
        <x:v>5.266627920298721</x:v>
      </x:c>
      <x:c r="H70" s="30" t="n">
        <x:f>IF(SUM(H59:H60)&gt;0,H50/SUM(H59:H60),"No debt")</x:f>
        <x:v>5.562017564195228</x:v>
      </x:c>
      <x:c r="I70" s="30" t="n">
        <x:f>IF(SUM(I59:I60)&gt;0,I50/SUM(I59:I60),"No debt")</x:f>
        <x:v>5.866974839837089</x:v>
      </x:c>
      <x:c r="J70" s="30" t="n">
        <x:f>IF(SUM(J59:J60)&gt;0,J50/SUM(J59:J60),"No debt")</x:f>
        <x:v>6.181804141977522</x:v>
      </x:c>
      <x:c r="K70" s="30" t="n">
        <x:f>IF(SUM(K59:K60)&gt;0,K50/SUM(K59:K60),"No debt")</x:f>
        <x:v>6.506820231286887</x:v>
      </x:c>
      <x:c r="L70" s="30" t="n">
        <x:f>IF(SUM(L59:L60)&gt;0,L50/SUM(L59:L60),"No debt")</x:f>
        <x:v>6.8423486250303975</x:v>
      </x:c>
      <x:c r="M70" s="30" t="n">
        <x:f>IF(SUM(M59:M60)&gt;0,M50/SUM(M59:M60),"No debt")</x:f>
        <x:v>7.188726004328096</x:v>
      </x:c>
      <x:c r="N70" s="30" t="n">
        <x:f>IF(SUM(N59:N60)&gt;0,N50/SUM(N59:N60),"No debt")</x:f>
        <x:v>7.546300638795282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0.6346153846153846</x:v>
      </x:c>
      <x:c r="D71" s="20" t="n">
        <x:f>IF($C$10&gt;0,D43/$C$10,0)</x:f>
        <x:v>0.6473076923076924</x:v>
      </x:c>
      <x:c r="E71" s="20" t="n">
        <x:f>IF($C$10&gt;0,E43/$C$10,0)</x:f>
        <x:v>0.6602538461538462</x:v>
      </x:c>
      <x:c r="F71" s="20" t="n">
        <x:f>IF($C$10&gt;0,F43/$C$10,0)</x:f>
        <x:v>0.673458923076923</x:v>
      </x:c>
      <x:c r="G71" s="20" t="n">
        <x:f>IF($C$10&gt;0,G43/$C$10,0)</x:f>
        <x:v>0.6869281015384615</x:v>
      </x:c>
      <x:c r="H71" s="20" t="n">
        <x:f>IF($C$10&gt;0,H43/$C$10,0)</x:f>
        <x:v>0.7006666635692307</x:v>
      </x:c>
      <x:c r="I71" s="20" t="n">
        <x:f>IF($C$10&gt;0,I43/$C$10,0)</x:f>
        <x:v>0.7146799968406155</x:v>
      </x:c>
      <x:c r="J71" s="20" t="n">
        <x:f>IF($C$10&gt;0,J43/$C$10,0)</x:f>
        <x:v>0.7289735967774276</x:v>
      </x:c>
      <x:c r="K71" s="20" t="n">
        <x:f>IF($C$10&gt;0,K43/$C$10,0)</x:f>
        <x:v>0.7435530687129762</x:v>
      </x:c>
      <x:c r="L71" s="20" t="n">
        <x:f>IF($C$10&gt;0,L43/$C$10,0)</x:f>
        <x:v>0.7584241300872357</x:v>
      </x:c>
      <x:c r="M71" s="20" t="n">
        <x:f>IF($C$10&gt;0,M43/$C$10,0)</x:f>
        <x:v>0.7735926126889805</x:v>
      </x:c>
      <x:c r="N71" s="20" t="n">
        <x:f>IF($C$10&gt;0,N43/$C$10,0)</x:f>
        <x:v>0.78906446494276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3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a0e9bc5471db4a98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Fintech Startup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65000</x:v>
      </x:c>
      <x:c r="D6" s="10" t="str">
        <x:v>billable transactions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910000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14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390000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6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8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420000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520000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120000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100000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0.5714285714285714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52500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1200000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735000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150000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0.5416666666666666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1500000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3050000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35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3050000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728000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384800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-35200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910000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2400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12205001.652595812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1850289.4182877953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2227734.4850032995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717933.3333333333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782066.6666666667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65000</x:v>
      </x:c>
      <x:c r="D43" s="4" t="n">
        <x:f>MIN($C$10,$C$6*(1+$C$11)^1)</x:f>
        <x:v>66300</x:v>
      </x:c>
      <x:c r="E43" s="4" t="n">
        <x:f>MIN($C$10,$C$6*(1+$C$11)^2)</x:f>
        <x:v>67626</x:v>
      </x:c>
      <x:c r="F43" s="4" t="n">
        <x:f>MIN($C$10,$C$6*(1+$C$11)^3)</x:f>
        <x:v>68978.51999999999</x:v>
      </x:c>
      <x:c r="G43" s="4" t="n">
        <x:f>MIN($C$10,$C$6*(1+$C$11)^4)</x:f>
        <x:v>70358.0904</x:v>
      </x:c>
      <x:c r="H43" s="4" t="n">
        <x:f>MIN($C$10,$C$6*(1+$C$11)^5)</x:f>
        <x:v>71765.252208</x:v>
      </x:c>
      <x:c r="I43" s="4" t="n">
        <x:f>MIN($C$10,$C$6*(1+$C$11)^6)</x:f>
        <x:v>73200.55725216001</x:v>
      </x:c>
      <x:c r="J43" s="4" t="n">
        <x:f>MIN($C$10,$C$6*(1+$C$11)^7)</x:f>
        <x:v>74664.56839720318</x:v>
      </x:c>
      <x:c r="K43" s="4" t="n">
        <x:f>MIN($C$10,$C$6*(1+$C$11)^8)</x:f>
        <x:v>76157.85976514725</x:v>
      </x:c>
      <x:c r="L43" s="4" t="n">
        <x:f>MIN($C$10,$C$6*(1+$C$11)^9)</x:f>
        <x:v>77681.0169604502</x:v>
      </x:c>
      <x:c r="M43" s="4" t="n">
        <x:f>MIN($C$10,$C$6*(1+$C$11)^10)</x:f>
        <x:v>79234.63729965921</x:v>
      </x:c>
      <x:c r="N43" s="4" t="n">
        <x:f>MIN($C$10,$C$6*(1+$C$11)^11)</x:f>
        <x:v>80819.33004565239</x:v>
      </x:c>
    </x:row>
    <x:row r="44" ht="31" customHeight="1">
      <x:c r="A44" s="10" t="str">
        <x:v>Net unit price</x:v>
      </x:c>
      <x:c r="B44" s="4"/>
      <x:c r="C44" s="4" t="n">
        <x:f>$C$7*(1+$C$34)^0</x:f>
        <x:v>14</x:v>
      </x:c>
      <x:c r="D44" s="4" t="n">
        <x:f>$C$7*(1+$C$34)^1</x:f>
        <x:v>14</x:v>
      </x:c>
      <x:c r="E44" s="4" t="n">
        <x:f>$C$7*(1+$C$34)^2</x:f>
        <x:v>14</x:v>
      </x:c>
      <x:c r="F44" s="4" t="n">
        <x:f>$C$7*(1+$C$34)^3</x:f>
        <x:v>14</x:v>
      </x:c>
      <x:c r="G44" s="4" t="n">
        <x:f>$C$7*(1+$C$34)^4</x:f>
        <x:v>14</x:v>
      </x:c>
      <x:c r="H44" s="4" t="n">
        <x:f>$C$7*(1+$C$34)^5</x:f>
        <x:v>14</x:v>
      </x:c>
      <x:c r="I44" s="4" t="n">
        <x:f>$C$7*(1+$C$34)^6</x:f>
        <x:v>14</x:v>
      </x:c>
      <x:c r="J44" s="4" t="n">
        <x:f>$C$7*(1+$C$34)^7</x:f>
        <x:v>14</x:v>
      </x:c>
      <x:c r="K44" s="4" t="n">
        <x:f>$C$7*(1+$C$34)^8</x:f>
        <x:v>14</x:v>
      </x:c>
      <x:c r="L44" s="4" t="n">
        <x:f>$C$7*(1+$C$34)^9</x:f>
        <x:v>14</x:v>
      </x:c>
      <x:c r="M44" s="4" t="n">
        <x:f>$C$7*(1+$C$34)^10</x:f>
        <x:v>14</x:v>
      </x:c>
      <x:c r="N44" s="4" t="n">
        <x:f>$C$7*(1+$C$34)^11</x:f>
        <x:v>14</x:v>
      </x:c>
    </x:row>
    <x:row r="45" ht="31" customHeight="1">
      <x:c r="A45" s="23" t="str">
        <x:v>Net revenue</x:v>
      </x:c>
      <x:c r="B45" s="22"/>
      <x:c r="C45" s="22" t="n">
        <x:f>C43*C44</x:f>
        <x:v>910000</x:v>
      </x:c>
      <x:c r="D45" s="22" t="n">
        <x:f>D43*D44</x:f>
        <x:v>928200</x:v>
      </x:c>
      <x:c r="E45" s="22" t="n">
        <x:f>E43*E44</x:f>
        <x:v>946764</x:v>
      </x:c>
      <x:c r="F45" s="22" t="n">
        <x:f>F43*F44</x:f>
        <x:v>965699.2799999998</x:v>
      </x:c>
      <x:c r="G45" s="22" t="n">
        <x:f>G43*G44</x:f>
        <x:v>985013.2656</x:v>
      </x:c>
      <x:c r="H45" s="22" t="n">
        <x:f>H43*H44</x:f>
        <x:v>1004713.5309120001</x:v>
      </x:c>
      <x:c r="I45" s="22" t="n">
        <x:f>I43*I44</x:f>
        <x:v>1024807.8015302401</x:v>
      </x:c>
      <x:c r="J45" s="22" t="n">
        <x:f>J43*J44</x:f>
        <x:v>1045303.9575608446</x:v>
      </x:c>
      <x:c r="K45" s="22" t="n">
        <x:f>K43*K44</x:f>
        <x:v>1066210.0367120616</x:v>
      </x:c>
      <x:c r="L45" s="22" t="n">
        <x:f>L43*L44</x:f>
        <x:v>1087534.2374463028</x:v>
      </x:c>
      <x:c r="M45" s="22" t="n">
        <x:f>M43*M44</x:f>
        <x:v>1109284.922195229</x:v>
      </x:c>
      <x:c r="N45" s="22" t="n">
        <x:f>N43*N44</x:f>
        <x:v>1131470.6206391335</x:v>
      </x:c>
    </x:row>
    <x:row r="46" ht="31" customHeight="1">
      <x:c r="A46" s="10" t="str">
        <x:v>Variable cost per unit</x:v>
      </x:c>
      <x:c r="B46" s="4"/>
      <x:c r="C46" s="4" t="n">
        <x:f>$C$8</x:f>
        <x:v>6</x:v>
      </x:c>
      <x:c r="D46" s="4" t="n">
        <x:f>$C$8</x:f>
        <x:v>6</x:v>
      </x:c>
      <x:c r="E46" s="4" t="n">
        <x:f>$C$8</x:f>
        <x:v>6</x:v>
      </x:c>
      <x:c r="F46" s="4" t="n">
        <x:f>$C$8</x:f>
        <x:v>6</x:v>
      </x:c>
      <x:c r="G46" s="4" t="n">
        <x:f>$C$8</x:f>
        <x:v>6</x:v>
      </x:c>
      <x:c r="H46" s="4" t="n">
        <x:f>$C$8</x:f>
        <x:v>6</x:v>
      </x:c>
      <x:c r="I46" s="4" t="n">
        <x:f>$C$8</x:f>
        <x:v>6</x:v>
      </x:c>
      <x:c r="J46" s="4" t="n">
        <x:f>$C$8</x:f>
        <x:v>6</x:v>
      </x:c>
      <x:c r="K46" s="4" t="n">
        <x:f>$C$8</x:f>
        <x:v>6</x:v>
      </x:c>
      <x:c r="L46" s="4" t="n">
        <x:f>$C$8</x:f>
        <x:v>6</x:v>
      </x:c>
      <x:c r="M46" s="4" t="n">
        <x:f>$C$8</x:f>
        <x:v>6</x:v>
      </x:c>
      <x:c r="N46" s="4" t="n">
        <x:f>$C$8</x:f>
        <x:v>6</x:v>
      </x:c>
    </x:row>
    <x:row r="47" ht="31" customHeight="1">
      <x:c r="A47" s="10" t="str">
        <x:v>Variable cash cost</x:v>
      </x:c>
      <x:c r="B47" s="4"/>
      <x:c r="C47" s="4" t="n">
        <x:f>C43*C46</x:f>
        <x:v>390000</x:v>
      </x:c>
      <x:c r="D47" s="4" t="n">
        <x:f>D43*D46</x:f>
        <x:v>397800</x:v>
      </x:c>
      <x:c r="E47" s="4" t="n">
        <x:f>E43*E46</x:f>
        <x:v>405756</x:v>
      </x:c>
      <x:c r="F47" s="4" t="n">
        <x:f>F43*F46</x:f>
        <x:v>413871.11999999994</x:v>
      </x:c>
      <x:c r="G47" s="4" t="n">
        <x:f>G43*G46</x:f>
        <x:v>422148.54240000003</x:v>
      </x:c>
      <x:c r="H47" s="4" t="n">
        <x:f>H43*H46</x:f>
        <x:v>430591.51324800006</x:v>
      </x:c>
      <x:c r="I47" s="4" t="n">
        <x:f>I43*I46</x:f>
        <x:v>439203.34351296007</x:v>
      </x:c>
      <x:c r="J47" s="4" t="n">
        <x:f>J43*J46</x:f>
        <x:v>447987.41038321913</x:v>
      </x:c>
      <x:c r="K47" s="4" t="n">
        <x:f>K43*K46</x:f>
        <x:v>456947.1585908835</x:v>
      </x:c>
      <x:c r="L47" s="4" t="n">
        <x:f>L43*L46</x:f>
        <x:v>466086.1017627012</x:v>
      </x:c>
      <x:c r="M47" s="4" t="n">
        <x:f>M43*M46</x:f>
        <x:v>475407.8237979553</x:v>
      </x:c>
      <x:c r="N47" s="4" t="n">
        <x:f>N43*N46</x:f>
        <x:v>484915.9802739143</x:v>
      </x:c>
    </x:row>
    <x:row r="48" ht="31" customHeight="1">
      <x:c r="A48" s="10" t="str">
        <x:v>Contribution</x:v>
      </x:c>
      <x:c r="B48" s="4"/>
      <x:c r="C48" s="4" t="n">
        <x:f>C45-C47</x:f>
        <x:v>520000</x:v>
      </x:c>
      <x:c r="D48" s="4" t="n">
        <x:f>D45-D47</x:f>
        <x:v>530400</x:v>
      </x:c>
      <x:c r="E48" s="4" t="n">
        <x:f>E45-E47</x:f>
        <x:v>541008</x:v>
      </x:c>
      <x:c r="F48" s="4" t="n">
        <x:f>F45-F47</x:f>
        <x:v>551828.1599999999</x:v>
      </x:c>
      <x:c r="G48" s="4" t="n">
        <x:f>G45-G47</x:f>
        <x:v>562864.7232</x:v>
      </x:c>
      <x:c r="H48" s="4" t="n">
        <x:f>H45-H47</x:f>
        <x:v>574122.017664</x:v>
      </x:c>
      <x:c r="I48" s="4" t="n">
        <x:f>I45-I47</x:f>
        <x:v>585604.4580172801</x:v>
      </x:c>
      <x:c r="J48" s="4" t="n">
        <x:f>J45-J47</x:f>
        <x:v>597316.5471776255</x:v>
      </x:c>
      <x:c r="K48" s="4" t="n">
        <x:f>K45-K47</x:f>
        <x:v>609262.8781211781</x:v>
      </x:c>
      <x:c r="L48" s="4" t="n">
        <x:f>L45-L47</x:f>
        <x:v>621448.1356836016</x:v>
      </x:c>
      <x:c r="M48" s="4" t="n">
        <x:f>M45-M47</x:f>
        <x:v>633877.0983972737</x:v>
      </x:c>
      <x:c r="N48" s="4" t="n">
        <x:f>N45-N47</x:f>
        <x:v>646554.6403652192</x:v>
      </x:c>
    </x:row>
    <x:row r="49" ht="31" customHeight="1">
      <x:c r="A49" s="10" t="str">
        <x:v>Fixed cash costs</x:v>
      </x:c>
      <x:c r="B49" s="4"/>
      <x:c r="C49" s="4" t="n">
        <x:f>$C$9*(1+$C$12)^0</x:f>
        <x:v>420000</x:v>
      </x:c>
      <x:c r="D49" s="4" t="n">
        <x:f>$C$9*(1+$C$12)^1</x:f>
        <x:v>421259.99999999994</x:v>
      </x:c>
      <x:c r="E49" s="4" t="n">
        <x:f>$C$9*(1+$C$12)^2</x:f>
        <x:v>422523.77999999985</x:v>
      </x:c>
      <x:c r="F49" s="4" t="n">
        <x:f>$C$9*(1+$C$12)^3</x:f>
        <x:v>423791.3513399999</x:v>
      </x:c>
      <x:c r="G49" s="4" t="n">
        <x:f>$C$9*(1+$C$12)^4</x:f>
        <x:v>425062.7253940198</x:v>
      </x:c>
      <x:c r="H49" s="4" t="n">
        <x:f>$C$9*(1+$C$12)^5</x:f>
        <x:v>426337.91357020184</x:v>
      </x:c>
      <x:c r="I49" s="4" t="n">
        <x:f>$C$9*(1+$C$12)^6</x:f>
        <x:v>427616.9273109123</x:v>
      </x:c>
      <x:c r="J49" s="4" t="n">
        <x:f>$C$9*(1+$C$12)^7</x:f>
        <x:v>428899.778092845</x:v>
      </x:c>
      <x:c r="K49" s="4" t="n">
        <x:f>$C$9*(1+$C$12)^8</x:f>
        <x:v>430186.4774271235</x:v>
      </x:c>
      <x:c r="L49" s="4" t="n">
        <x:f>$C$9*(1+$C$12)^9</x:f>
        <x:v>431477.0368594048</x:v>
      </x:c>
      <x:c r="M49" s="4" t="n">
        <x:f>$C$9*(1+$C$12)^10</x:f>
        <x:v>432771.46796998294</x:v>
      </x:c>
      <x:c r="N49" s="4" t="n">
        <x:f>$C$9*(1+$C$12)^11</x:f>
        <x:v>434069.7823738929</x:v>
      </x:c>
    </x:row>
    <x:row r="50" ht="31" customHeight="1">
      <x:c r="A50" s="23" t="str">
        <x:v>Operating cash profit (EBITDA)</x:v>
      </x:c>
      <x:c r="B50" s="22"/>
      <x:c r="C50" s="22" t="n">
        <x:f>C48-C49</x:f>
        <x:v>100000</x:v>
      </x:c>
      <x:c r="D50" s="22" t="n">
        <x:f>D48-D49</x:f>
        <x:v>109140.00000000006</x:v>
      </x:c>
      <x:c r="E50" s="22" t="n">
        <x:f>E48-E49</x:f>
        <x:v>118484.22000000015</x:v>
      </x:c>
      <x:c r="F50" s="22" t="n">
        <x:f>F48-F49</x:f>
        <x:v>128036.80866000004</x:v>
      </x:c>
      <x:c r="G50" s="22" t="n">
        <x:f>G48-G49</x:f>
        <x:v>137801.9978059802</x:v>
      </x:c>
      <x:c r="H50" s="22" t="n">
        <x:f>H48-H49</x:f>
        <x:v>147784.1040937982</x:v>
      </x:c>
      <x:c r="I50" s="22" t="n">
        <x:f>I48-I49</x:f>
        <x:v>157987.5307063678</x:v>
      </x:c>
      <x:c r="J50" s="22" t="n">
        <x:f>J48-J49</x:f>
        <x:v>168416.76908478048</x:v>
      </x:c>
      <x:c r="K50" s="22" t="n">
        <x:f>K48-K49</x:f>
        <x:v>179076.4006940546</x:v>
      </x:c>
      <x:c r="L50" s="22" t="n">
        <x:f>L48-L49</x:f>
        <x:v>189971.0988241968</x:v>
      </x:c>
      <x:c r="M50" s="22" t="n">
        <x:f>M48-M49</x:f>
        <x:v>201105.63042729074</x:v>
      </x:c>
      <x:c r="N50" s="22" t="n">
        <x:f>N48-N49</x:f>
        <x:v>212484.8579913263</x:v>
      </x:c>
    </x:row>
    <x:row r="51" ht="31" customHeight="1">
      <x:c r="A51" s="10" t="str">
        <x:v>Planning depreciation</x:v>
      </x:c>
      <x:c r="B51" s="4"/>
      <x:c r="C51" s="4" t="n">
        <x:f>$C$13/$C$33/$C$30</x:f>
        <x:v>20000</x:v>
      </x:c>
      <x:c r="D51" s="4" t="n">
        <x:f>$C$13/$C$33/$C$30</x:f>
        <x:v>20000</x:v>
      </x:c>
      <x:c r="E51" s="4" t="n">
        <x:f>$C$13/$C$33/$C$30</x:f>
        <x:v>20000</x:v>
      </x:c>
      <x:c r="F51" s="4" t="n">
        <x:f>$C$13/$C$33/$C$30</x:f>
        <x:v>20000</x:v>
      </x:c>
      <x:c r="G51" s="4" t="n">
        <x:f>$C$13/$C$33/$C$30</x:f>
        <x:v>20000</x:v>
      </x:c>
      <x:c r="H51" s="4" t="n">
        <x:f>$C$13/$C$33/$C$30</x:f>
        <x:v>20000</x:v>
      </x:c>
      <x:c r="I51" s="4" t="n">
        <x:f>$C$13/$C$33/$C$30</x:f>
        <x:v>20000</x:v>
      </x:c>
      <x:c r="J51" s="4" t="n">
        <x:f>$C$13/$C$33/$C$30</x:f>
        <x:v>20000</x:v>
      </x:c>
      <x:c r="K51" s="4" t="n">
        <x:f>$C$13/$C$33/$C$30</x:f>
        <x:v>20000</x:v>
      </x:c>
      <x:c r="L51" s="4" t="n">
        <x:f>$C$13/$C$33/$C$30</x:f>
        <x:v>20000</x:v>
      </x:c>
      <x:c r="M51" s="4" t="n">
        <x:f>$C$13/$C$33/$C$30</x:f>
        <x:v>20000</x:v>
      </x:c>
      <x:c r="N51" s="4" t="n">
        <x:f>$C$13/$C$33/$C$30</x:f>
        <x:v>20000</x:v>
      </x:c>
    </x:row>
    <x:row r="52" ht="31" customHeight="1">
      <x:c r="A52" s="10" t="str">
        <x:v>Operating profit (EBIT)</x:v>
      </x:c>
      <x:c r="B52" s="4"/>
      <x:c r="C52" s="4" t="n">
        <x:f>C50-C51</x:f>
        <x:v>80000</x:v>
      </x:c>
      <x:c r="D52" s="4" t="n">
        <x:f>D50-D51</x:f>
        <x:v>89140.00000000006</x:v>
      </x:c>
      <x:c r="E52" s="4" t="n">
        <x:f>E50-E51</x:f>
        <x:v>98484.22000000015</x:v>
      </x:c>
      <x:c r="F52" s="4" t="n">
        <x:f>F50-F51</x:f>
        <x:v>108036.80866000004</x:v>
      </x:c>
      <x:c r="G52" s="4" t="n">
        <x:f>G50-G51</x:f>
        <x:v>117801.99780598021</x:v>
      </x:c>
      <x:c r="H52" s="4" t="n">
        <x:f>H50-H51</x:f>
        <x:v>127784.1040937982</x:v>
      </x:c>
      <x:c r="I52" s="4" t="n">
        <x:f>I50-I51</x:f>
        <x:v>137987.5307063678</x:v>
      </x:c>
      <x:c r="J52" s="4" t="n">
        <x:f>J50-J51</x:f>
        <x:v>148416.76908478048</x:v>
      </x:c>
      <x:c r="K52" s="4" t="n">
        <x:f>K50-K51</x:f>
        <x:v>159076.4006940546</x:v>
      </x:c>
      <x:c r="L52" s="4" t="n">
        <x:f>L50-L51</x:f>
        <x:v>169971.0988241968</x:v>
      </x:c>
      <x:c r="M52" s="4" t="n">
        <x:f>M50-M51</x:f>
        <x:v>181105.63042729074</x:v>
      </x:c>
      <x:c r="N52" s="4" t="n">
        <x:f>N50-N51</x:f>
        <x:v>192484.8579913263</x:v>
      </x:c>
    </x:row>
    <x:row r="53" ht="31" customHeight="1">
      <x:c r="A53" s="10" t="str">
        <x:v>Receivables</x:v>
      </x:c>
      <x:c r="B53" s="4"/>
      <x:c r="C53" s="4" t="n">
        <x:f>C45*$C$16/$C$29</x:f>
        <x:v>1061666.6666666667</x:v>
      </x:c>
      <x:c r="D53" s="4" t="n">
        <x:f>D45*$C$16/$C$29</x:f>
        <x:v>1082900</x:v>
      </x:c>
      <x:c r="E53" s="4" t="n">
        <x:f>E45*$C$16/$C$29</x:f>
        <x:v>1104558</x:v>
      </x:c>
      <x:c r="F53" s="4" t="n">
        <x:f>F45*$C$16/$C$29</x:f>
        <x:v>1126649.1599999997</x:v>
      </x:c>
      <x:c r="G53" s="4" t="n">
        <x:f>G45*$C$16/$C$29</x:f>
        <x:v>1149182.1432</x:v>
      </x:c>
      <x:c r="H53" s="4" t="n">
        <x:f>H45*$C$16/$C$29</x:f>
        <x:v>1172165.786064</x:v>
      </x:c>
      <x:c r="I53" s="4" t="n">
        <x:f>I45*$C$16/$C$29</x:f>
        <x:v>1195609.10178528</x:v>
      </x:c>
      <x:c r="J53" s="4" t="n">
        <x:f>J45*$C$16/$C$29</x:f>
        <x:v>1219521.2838209854</x:v>
      </x:c>
      <x:c r="K53" s="4" t="n">
        <x:f>K45*$C$16/$C$29</x:f>
        <x:v>1243911.709497405</x:v>
      </x:c>
      <x:c r="L53" s="4" t="n">
        <x:f>L45*$C$16/$C$29</x:f>
        <x:v>1268789.9436873533</x:v>
      </x:c>
      <x:c r="M53" s="4" t="n">
        <x:f>M45*$C$16/$C$29</x:f>
        <x:v>1294165.7425611005</x:v>
      </x:c>
      <x:c r="N53" s="4" t="n">
        <x:f>N45*$C$16/$C$29</x:f>
        <x:v>1320049.0574123224</x:v>
      </x:c>
    </x:row>
    <x:row r="54" ht="31" customHeight="1">
      <x:c r="A54" s="10" t="str">
        <x:v>Own inventory</x:v>
      </x:c>
      <x:c r="B54" s="4"/>
      <x:c r="C54" s="4" t="n">
        <x:f>C47*$C$31*$C$17/$C$29</x:f>
        <x:v>0</x:v>
      </x:c>
      <x:c r="D54" s="4" t="n">
        <x:f>D47*$C$31*$C$17/$C$29</x:f>
        <x:v>0</x:v>
      </x:c>
      <x:c r="E54" s="4" t="n">
        <x:f>E47*$C$31*$C$17/$C$29</x:f>
        <x:v>0</x:v>
      </x:c>
      <x:c r="F54" s="4" t="n">
        <x:f>F47*$C$31*$C$17/$C$29</x:f>
        <x:v>0</x:v>
      </x:c>
      <x:c r="G54" s="4" t="n">
        <x:f>G47*$C$31*$C$17/$C$29</x:f>
        <x:v>0</x:v>
      </x:c>
      <x:c r="H54" s="4" t="n">
        <x:f>H47*$C$31*$C$17/$C$29</x:f>
        <x:v>0</x:v>
      </x:c>
      <x:c r="I54" s="4" t="n">
        <x:f>I47*$C$31*$C$17/$C$29</x:f>
        <x:v>0</x:v>
      </x:c>
      <x:c r="J54" s="4" t="n">
        <x:f>J47*$C$31*$C$17/$C$29</x:f>
        <x:v>0</x:v>
      </x:c>
      <x:c r="K54" s="4" t="n">
        <x:f>K47*$C$31*$C$17/$C$29</x:f>
        <x:v>0</x:v>
      </x:c>
      <x:c r="L54" s="4" t="n">
        <x:f>L47*$C$31*$C$17/$C$29</x:f>
        <x:v>0</x:v>
      </x:c>
      <x:c r="M54" s="4" t="n">
        <x:f>M47*$C$31*$C$17/$C$29</x:f>
        <x:v>0</x:v>
      </x:c>
      <x:c r="N54" s="4" t="n">
        <x:f>N47*$C$31*$C$17/$C$29</x:f>
        <x:v>0</x:v>
      </x:c>
    </x:row>
    <x:row r="55" ht="31" customHeight="1">
      <x:c r="A55" s="10" t="str">
        <x:v>Supplier payables</x:v>
      </x:c>
      <x:c r="B55" s="4"/>
      <x:c r="C55" s="4" t="n">
        <x:f>C47*$C$32*$C$18/$C$29</x:f>
        <x:v>182000</x:v>
      </x:c>
      <x:c r="D55" s="4" t="n">
        <x:f>D47*$C$32*$C$18/$C$29</x:f>
        <x:v>185640</x:v>
      </x:c>
      <x:c r="E55" s="4" t="n">
        <x:f>E47*$C$32*$C$18/$C$29</x:f>
        <x:v>189352.79999999996</x:v>
      </x:c>
      <x:c r="F55" s="4" t="n">
        <x:f>F47*$C$32*$C$18/$C$29</x:f>
        <x:v>193139.85599999997</x:v>
      </x:c>
      <x:c r="G55" s="4" t="n">
        <x:f>G47*$C$32*$C$18/$C$29</x:f>
        <x:v>197002.65311999997</x:v>
      </x:c>
      <x:c r="H55" s="4" t="n">
        <x:f>H47*$C$32*$C$18/$C$29</x:f>
        <x:v>200942.70618240003</x:v>
      </x:c>
      <x:c r="I55" s="4" t="n">
        <x:f>I47*$C$32*$C$18/$C$29</x:f>
        <x:v>204961.56030604802</x:v>
      </x:c>
      <x:c r="J55" s="4" t="n">
        <x:f>J47*$C$32*$C$18/$C$29</x:f>
        <x:v>209060.79151216891</x:v>
      </x:c>
      <x:c r="K55" s="4" t="n">
        <x:f>K47*$C$32*$C$18/$C$29</x:f>
        <x:v>213242.00734241228</x:v>
      </x:c>
      <x:c r="L55" s="4" t="n">
        <x:f>L47*$C$32*$C$18/$C$29</x:f>
        <x:v>217506.84748926052</x:v>
      </x:c>
      <x:c r="M55" s="4" t="n">
        <x:f>M47*$C$32*$C$18/$C$29</x:f>
        <x:v>221856.98443904577</x:v>
      </x:c>
      <x:c r="N55" s="4" t="n">
        <x:f>N47*$C$32*$C$18/$C$29</x:f>
        <x:v>226294.12412782665</x:v>
      </x:c>
    </x:row>
    <x:row r="56" ht="31" customHeight="1">
      <x:c r="A56" s="23" t="str">
        <x:v>Net working capital</x:v>
      </x:c>
      <x:c r="B56" s="22"/>
      <x:c r="C56" s="22" t="n">
        <x:f>C53+C54-C55</x:f>
        <x:v>879666.6666666667</x:v>
      </x:c>
      <x:c r="D56" s="22" t="n">
        <x:f>D53+D54-D55</x:f>
        <x:v>897260</x:v>
      </x:c>
      <x:c r="E56" s="22" t="n">
        <x:f>E53+E54-E55</x:f>
        <x:v>915205.2000000001</x:v>
      </x:c>
      <x:c r="F56" s="22" t="n">
        <x:f>F53+F54-F55</x:f>
        <x:v>933509.3039999998</x:v>
      </x:c>
      <x:c r="G56" s="22" t="n">
        <x:f>G53+G54-G55</x:f>
        <x:v>952179.4900800001</x:v>
      </x:c>
      <x:c r="H56" s="22" t="n">
        <x:f>H53+H54-H55</x:f>
        <x:v>971223.0798816001</x:v>
      </x:c>
      <x:c r="I56" s="22" t="n">
        <x:f>I53+I54-I55</x:f>
        <x:v>990647.541479232</x:v>
      </x:c>
      <x:c r="J56" s="22" t="n">
        <x:f>J53+J54-J55</x:f>
        <x:v>1010460.4923088164</x:v>
      </x:c>
      <x:c r="K56" s="22" t="n">
        <x:f>K53+K54-K55</x:f>
        <x:v>1030669.7021549927</x:v>
      </x:c>
      <x:c r="L56" s="22" t="n">
        <x:f>L53+L54-L55</x:f>
        <x:v>1051283.0961980927</x:v>
      </x:c>
      <x:c r="M56" s="22" t="n">
        <x:f>M53+M54-M55</x:f>
        <x:v>1072308.7581220549</x:v>
      </x:c>
      <x:c r="N56" s="22" t="n">
        <x:f>N53+N54-N55</x:f>
        <x:v>1093754.9332844957</x:v>
      </x:c>
    </x:row>
    <x:row r="57" ht="31" customHeight="1">
      <x:c r="A57" s="10" t="str">
        <x:v>Increase in working capital</x:v>
      </x:c>
      <x:c r="B57" s="4"/>
      <x:c r="C57" s="4" t="n">
        <x:f>C56</x:f>
        <x:v>879666.6666666667</x:v>
      </x:c>
      <x:c r="D57" s="4" t="n">
        <x:f>D56-C56</x:f>
        <x:v>17593.333333333256</x:v>
      </x:c>
      <x:c r="E57" s="4" t="n">
        <x:f>E56-D56</x:f>
        <x:v>17945.20000000007</x:v>
      </x:c>
      <x:c r="F57" s="4" t="n">
        <x:f>F56-E56</x:f>
        <x:v>18304.1039999997</x:v>
      </x:c>
      <x:c r="G57" s="4" t="n">
        <x:f>G56-F56</x:f>
        <x:v>18670.186080000363</x:v>
      </x:c>
      <x:c r="H57" s="4" t="n">
        <x:f>H56-G56</x:f>
        <x:v>19043.58980159997</x:v>
      </x:c>
      <x:c r="I57" s="4" t="n">
        <x:f>I56-H56</x:f>
        <x:v>19424.46159763192</x:v>
      </x:c>
      <x:c r="J57" s="4" t="n">
        <x:f>J56-I56</x:f>
        <x:v>19812.950829584384</x:v>
      </x:c>
      <x:c r="K57" s="4" t="n">
        <x:f>K56-J56</x:f>
        <x:v>20209.209846176323</x:v>
      </x:c>
      <x:c r="L57" s="4" t="n">
        <x:f>L56-K56</x:f>
        <x:v>20613.39404309995</x:v>
      </x:c>
      <x:c r="M57" s="4" t="n">
        <x:f>M56-L56</x:f>
        <x:v>21025.66192396218</x:v>
      </x:c>
      <x:c r="N57" s="4" t="n">
        <x:f>N56-M56</x:f>
        <x:v>21446.175162440864</x:v>
      </x:c>
    </x:row>
    <x:row r="58" ht="31" customHeight="1">
      <x:c r="A58" s="10" t="str">
        <x:v>Opening debt</x:v>
      </x:c>
      <x:c r="B58" s="4"/>
      <x:c r="C58" s="4" t="n">
        <x:f>$C$19</x:f>
        <x:v>0</x:v>
      </x:c>
      <x:c r="D58" s="4" t="n">
        <x:f>C61</x:f>
        <x:v>0</x:v>
      </x:c>
      <x:c r="E58" s="4" t="n">
        <x:f>D61</x:f>
        <x:v>0</x:v>
      </x:c>
      <x:c r="F58" s="4" t="n">
        <x:f>E61</x:f>
        <x:v>0</x:v>
      </x:c>
      <x:c r="G58" s="4" t="n">
        <x:f>F61</x:f>
        <x:v>0</x:v>
      </x:c>
      <x:c r="H58" s="4" t="n">
        <x:f>G61</x:f>
        <x:v>0</x:v>
      </x:c>
      <x:c r="I58" s="4" t="n">
        <x:f>H61</x:f>
        <x:v>0</x:v>
      </x:c>
      <x:c r="J58" s="4" t="n">
        <x:f>I61</x:f>
        <x:v>0</x:v>
      </x:c>
      <x:c r="K58" s="4" t="n">
        <x:f>J61</x:f>
        <x:v>0</x:v>
      </x:c>
      <x:c r="L58" s="4" t="n">
        <x:f>K61</x:f>
        <x:v>0</x:v>
      </x:c>
      <x:c r="M58" s="4" t="n">
        <x:f>L61</x:f>
        <x:v>0</x:v>
      </x:c>
      <x:c r="N58" s="4" t="n">
        <x:f>M61</x:f>
        <x:v>0</x:v>
      </x:c>
    </x:row>
    <x:row r="59" ht="31" customHeight="1">
      <x:c r="A59" s="10" t="str">
        <x:v>Interest cash</x:v>
      </x:c>
      <x:c r="B59" s="4"/>
      <x:c r="C59" s="4" t="n">
        <x:f>C58*$C$20/$C$30</x:f>
        <x:v>0</x:v>
      </x:c>
      <x:c r="D59" s="4" t="n">
        <x:f>D58*$C$20/$C$30</x:f>
        <x:v>0</x:v>
      </x:c>
      <x:c r="E59" s="4" t="n">
        <x:f>E58*$C$20/$C$30</x:f>
        <x:v>0</x:v>
      </x:c>
      <x:c r="F59" s="4" t="n">
        <x:f>F58*$C$20/$C$30</x:f>
        <x:v>0</x:v>
      </x:c>
      <x:c r="G59" s="4" t="n">
        <x:f>G58*$C$20/$C$30</x:f>
        <x:v>0</x:v>
      </x:c>
      <x:c r="H59" s="4" t="n">
        <x:f>H58*$C$20/$C$30</x:f>
        <x:v>0</x:v>
      </x:c>
      <x:c r="I59" s="4" t="n">
        <x:f>I58*$C$20/$C$30</x:f>
        <x:v>0</x:v>
      </x:c>
      <x:c r="J59" s="4" t="n">
        <x:f>J58*$C$20/$C$30</x:f>
        <x:v>0</x:v>
      </x:c>
      <x:c r="K59" s="4" t="n">
        <x:f>K58*$C$20/$C$30</x:f>
        <x:v>0</x:v>
      </x:c>
      <x:c r="L59" s="4" t="n">
        <x:f>L58*$C$20/$C$30</x:f>
        <x:v>0</x:v>
      </x:c>
      <x:c r="M59" s="4" t="n">
        <x:f>M58*$C$20/$C$30</x:f>
        <x:v>0</x:v>
      </x:c>
      <x:c r="N59" s="4" t="n">
        <x:f>N58*$C$20/$C$30</x:f>
        <x:v>0</x:v>
      </x:c>
    </x:row>
    <x:row r="60" ht="31" customHeight="1">
      <x:c r="A60" s="10" t="str">
        <x:v>Principal repayment</x:v>
      </x:c>
      <x:c r="B60" s="4"/>
      <x:c r="C60" s="4" t="n">
        <x:f>MIN(C58,$C$19/$C$21)</x:f>
        <x:v>0</x:v>
      </x:c>
      <x:c r="D60" s="4" t="n">
        <x:f>MIN(D58,$C$19/$C$21)</x:f>
        <x:v>0</x:v>
      </x:c>
      <x:c r="E60" s="4" t="n">
        <x:f>MIN(E58,$C$19/$C$21)</x:f>
        <x:v>0</x:v>
      </x:c>
      <x:c r="F60" s="4" t="n">
        <x:f>MIN(F58,$C$19/$C$21)</x:f>
        <x:v>0</x:v>
      </x:c>
      <x:c r="G60" s="4" t="n">
        <x:f>MIN(G58,$C$19/$C$21)</x:f>
        <x:v>0</x:v>
      </x:c>
      <x:c r="H60" s="4" t="n">
        <x:f>MIN(H58,$C$19/$C$21)</x:f>
        <x:v>0</x:v>
      </x:c>
      <x:c r="I60" s="4" t="n">
        <x:f>MIN(I58,$C$19/$C$21)</x:f>
        <x:v>0</x:v>
      </x:c>
      <x:c r="J60" s="4" t="n">
        <x:f>MIN(J58,$C$19/$C$21)</x:f>
        <x:v>0</x:v>
      </x:c>
      <x:c r="K60" s="4" t="n">
        <x:f>MIN(K58,$C$19/$C$21)</x:f>
        <x:v>0</x:v>
      </x:c>
      <x:c r="L60" s="4" t="n">
        <x:f>MIN(L58,$C$19/$C$21)</x:f>
        <x:v>0</x:v>
      </x:c>
      <x:c r="M60" s="4" t="n">
        <x:f>MIN(M58,$C$19/$C$21)</x:f>
        <x:v>0</x:v>
      </x:c>
      <x:c r="N60" s="4" t="n">
        <x:f>MIN(N58,$C$19/$C$21)</x:f>
        <x:v>0</x:v>
      </x:c>
    </x:row>
    <x:row r="61" ht="31" customHeight="1">
      <x:c r="A61" s="10" t="str">
        <x:v>Closing debt</x:v>
      </x:c>
      <x:c r="B61" s="4"/>
      <x:c r="C61" s="4" t="n">
        <x:f>C58-C60</x:f>
        <x:v>0</x:v>
      </x:c>
      <x:c r="D61" s="4" t="n">
        <x:f>D58-D60</x:f>
        <x:v>0</x:v>
      </x:c>
      <x:c r="E61" s="4" t="n">
        <x:f>E58-E60</x:f>
        <x:v>0</x:v>
      </x:c>
      <x:c r="F61" s="4" t="n">
        <x:f>F58-F60</x:f>
        <x:v>0</x:v>
      </x:c>
      <x:c r="G61" s="4" t="n">
        <x:f>G58-G60</x:f>
        <x:v>0</x:v>
      </x:c>
      <x:c r="H61" s="4" t="n">
        <x:f>H58-H60</x:f>
        <x:v>0</x:v>
      </x:c>
      <x:c r="I61" s="4" t="n">
        <x:f>I58-I60</x:f>
        <x:v>0</x:v>
      </x:c>
      <x:c r="J61" s="4" t="n">
        <x:f>J58-J60</x:f>
        <x:v>0</x:v>
      </x:c>
      <x:c r="K61" s="4" t="n">
        <x:f>K58-K60</x:f>
        <x:v>0</x:v>
      </x:c>
      <x:c r="L61" s="4" t="n">
        <x:f>L58-L60</x:f>
        <x:v>0</x:v>
      </x:c>
      <x:c r="M61" s="4" t="n">
        <x:f>M58-M60</x:f>
        <x:v>0</x:v>
      </x:c>
      <x:c r="N61" s="4" t="n">
        <x:f>N58-N60</x:f>
        <x:v>0</x:v>
      </x:c>
    </x:row>
    <x:row r="62" ht="31" customHeight="1">
      <x:c r="A62" s="10" t="str">
        <x:v>Maintenance capital spend</x:v>
      </x:c>
      <x:c r="B62" s="4"/>
      <x:c r="C62" s="4" t="n">
        <x:f>$C$22</x:f>
        <x:v>2400</x:v>
      </x:c>
      <x:c r="D62" s="4" t="n">
        <x:f>$C$22</x:f>
        <x:v>2400</x:v>
      </x:c>
      <x:c r="E62" s="4" t="n">
        <x:f>$C$22</x:f>
        <x:v>2400</x:v>
      </x:c>
      <x:c r="F62" s="4" t="n">
        <x:f>$C$22</x:f>
        <x:v>2400</x:v>
      </x:c>
      <x:c r="G62" s="4" t="n">
        <x:f>$C$22</x:f>
        <x:v>2400</x:v>
      </x:c>
      <x:c r="H62" s="4" t="n">
        <x:f>$C$22</x:f>
        <x:v>2400</x:v>
      </x:c>
      <x:c r="I62" s="4" t="n">
        <x:f>$C$22</x:f>
        <x:v>2400</x:v>
      </x:c>
      <x:c r="J62" s="4" t="n">
        <x:f>$C$22</x:f>
        <x:v>2400</x:v>
      </x:c>
      <x:c r="K62" s="4" t="n">
        <x:f>$C$22</x:f>
        <x:v>2400</x:v>
      </x:c>
      <x:c r="L62" s="4" t="n">
        <x:f>$C$22</x:f>
        <x:v>2400</x:v>
      </x:c>
      <x:c r="M62" s="4" t="n">
        <x:f>$C$22</x:f>
        <x:v>2400</x:v>
      </x:c>
      <x:c r="N62" s="4" t="n">
        <x:f>$C$22</x:f>
        <x:v>2400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-782066.6666666667</x:v>
      </x:c>
      <x:c r="D66" s="22" t="n">
        <x:f>D50-D57-SUM(D59:D60)-SUM(D62:D65)</x:f>
        <x:v>89146.6666666668</x:v>
      </x:c>
      <x:c r="E66" s="22" t="n">
        <x:f>E50-E57-SUM(E59:E60)-SUM(E62:E65)</x:f>
        <x:v>98139.02000000008</x:v>
      </x:c>
      <x:c r="F66" s="22" t="n">
        <x:f>F50-F57-SUM(F59:F60)-SUM(F62:F65)</x:f>
        <x:v>107332.70466000034</x:v>
      </x:c>
      <x:c r="G66" s="22" t="n">
        <x:f>G50-G57-SUM(G59:G60)-SUM(G62:G65)</x:f>
        <x:v>116731.81172597985</x:v>
      </x:c>
      <x:c r="H66" s="22" t="n">
        <x:f>H50-H57-SUM(H59:H60)-SUM(H62:H65)</x:f>
        <x:v>126340.51429219823</x:v>
      </x:c>
      <x:c r="I66" s="22" t="n">
        <x:f>I50-I57-SUM(I59:I60)-SUM(I62:I65)</x:f>
        <x:v>136163.0691087359</x:v>
      </x:c>
      <x:c r="J66" s="22" t="n">
        <x:f>J50-J57-SUM(J59:J60)-SUM(J62:J65)</x:f>
        <x:v>146203.8182551961</x:v>
      </x:c>
      <x:c r="K66" s="22" t="n">
        <x:f>K50-K57-SUM(K59:K60)-SUM(K62:K65)</x:f>
        <x:v>156467.1908478783</x:v>
      </x:c>
      <x:c r="L66" s="22" t="n">
        <x:f>L50-L57-SUM(L59:L60)-SUM(L62:L65)</x:f>
        <x:v>166957.70478109684</x:v>
      </x:c>
      <x:c r="M66" s="22" t="n">
        <x:f>M50-M57-SUM(M59:M60)-SUM(M62:M65)</x:f>
        <x:v>177679.96850332856</x:v>
      </x:c>
      <x:c r="N66" s="22" t="n">
        <x:f>N50-N57-SUM(N59:N60)-SUM(N62:N65)</x:f>
        <x:v>188638.68282888544</x:v>
      </x:c>
    </x:row>
    <x:row r="67" ht="31" customHeight="1">
      <x:c r="A67" s="10" t="str">
        <x:v>Opening cash</x:v>
      </x:c>
      <x:c r="B67" s="4"/>
      <x:c r="C67" s="4" t="n">
        <x:f>$C$15</x:f>
        <x:v>1500000</x:v>
      </x:c>
      <x:c r="D67" s="4" t="n">
        <x:f>C68</x:f>
        <x:v>717933.3333333333</x:v>
      </x:c>
      <x:c r="E67" s="4" t="n">
        <x:f>D68</x:f>
        <x:v>807080</x:v>
      </x:c>
      <x:c r="F67" s="4" t="n">
        <x:f>E68</x:f>
        <x:v>905219.02</x:v>
      </x:c>
      <x:c r="G67" s="4" t="n">
        <x:f>F68</x:f>
        <x:v>1012551.7246600003</x:v>
      </x:c>
      <x:c r="H67" s="4" t="n">
        <x:f>G68</x:f>
        <x:v>1129283.5363859802</x:v>
      </x:c>
      <x:c r="I67" s="4" t="n">
        <x:f>H68</x:f>
        <x:v>1255624.0506781784</x:v>
      </x:c>
      <x:c r="J67" s="4" t="n">
        <x:f>I68</x:f>
        <x:v>1391787.1197869144</x:v>
      </x:c>
      <x:c r="K67" s="4" t="n">
        <x:f>J68</x:f>
        <x:v>1537990.9380421105</x:v>
      </x:c>
      <x:c r="L67" s="4" t="n">
        <x:f>K68</x:f>
        <x:v>1694458.1288899889</x:v>
      </x:c>
      <x:c r="M67" s="4" t="n">
        <x:f>L68</x:f>
        <x:v>1861415.8336710858</x:v>
      </x:c>
      <x:c r="N67" s="4" t="n">
        <x:f>M68</x:f>
        <x:v>2039095.8021744143</x:v>
      </x:c>
    </x:row>
    <x:row r="68" ht="31" customHeight="1">
      <x:c r="A68" s="23" t="str">
        <x:v>Closing cash</x:v>
      </x:c>
      <x:c r="B68" s="22"/>
      <x:c r="C68" s="22" t="n">
        <x:f>C67+C66</x:f>
        <x:v>717933.3333333333</x:v>
      </x:c>
      <x:c r="D68" s="22" t="n">
        <x:f>D67+D66</x:f>
        <x:v>807080</x:v>
      </x:c>
      <x:c r="E68" s="22" t="n">
        <x:f>E67+E66</x:f>
        <x:v>905219.02</x:v>
      </x:c>
      <x:c r="F68" s="22" t="n">
        <x:f>F67+F66</x:f>
        <x:v>1012551.7246600003</x:v>
      </x:c>
      <x:c r="G68" s="22" t="n">
        <x:f>G67+G66</x:f>
        <x:v>1129283.5363859802</x:v>
      </x:c>
      <x:c r="H68" s="22" t="n">
        <x:f>H67+H66</x:f>
        <x:v>1255624.0506781784</x:v>
      </x:c>
      <x:c r="I68" s="22" t="n">
        <x:f>I67+I66</x:f>
        <x:v>1391787.1197869144</x:v>
      </x:c>
      <x:c r="J68" s="22" t="n">
        <x:f>J67+J66</x:f>
        <x:v>1537990.9380421105</x:v>
      </x:c>
      <x:c r="K68" s="22" t="n">
        <x:f>K67+K66</x:f>
        <x:v>1694458.1288899889</x:v>
      </x:c>
      <x:c r="L68" s="22" t="n">
        <x:f>L67+L66</x:f>
        <x:v>1861415.8336710858</x:v>
      </x:c>
      <x:c r="M68" s="22" t="n">
        <x:f>M67+M66</x:f>
        <x:v>2039095.8021744143</x:v>
      </x:c>
      <x:c r="N68" s="22" t="n">
        <x:f>N67+N66</x:f>
        <x:v>2227734.4850032995</x:v>
      </x:c>
    </x:row>
    <x:row r="69" ht="31" customHeight="1">
      <x:c r="A69" s="10" t="str">
        <x:v>Cash-buffer shortfall</x:v>
      </x:c>
      <x:c r="B69" s="4"/>
      <x:c r="C69" s="4" t="n">
        <x:f>MAX(0,$C$15-C68)</x:f>
        <x:v>782066.6666666667</x:v>
      </x:c>
      <x:c r="D69" s="4" t="n">
        <x:f>MAX(0,$C$15-D68)</x:f>
        <x:v>692920</x:v>
      </x:c>
      <x:c r="E69" s="4" t="n">
        <x:f>MAX(0,$C$15-E68)</x:f>
        <x:v>594780.98</x:v>
      </x:c>
      <x:c r="F69" s="4" t="n">
        <x:f>MAX(0,$C$15-F68)</x:f>
        <x:v>487448.2753399997</x:v>
      </x:c>
      <x:c r="G69" s="4" t="n">
        <x:f>MAX(0,$C$15-G68)</x:f>
        <x:v>370716.4636140198</x:v>
      </x:c>
      <x:c r="H69" s="4" t="n">
        <x:f>MAX(0,$C$15-H68)</x:f>
        <x:v>244375.94932182156</x:v>
      </x:c>
      <x:c r="I69" s="4" t="n">
        <x:f>MAX(0,$C$15-I68)</x:f>
        <x:v>108212.88021308556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str">
        <x:f>IF(SUM(C59:C60)&gt;0,C50/SUM(C59:C60),"No debt")</x:f>
        <x:v>No debt</x:v>
      </x:c>
      <x:c r="D70" s="30" t="str">
        <x:f>IF(SUM(D59:D60)&gt;0,D50/SUM(D59:D60),"No debt")</x:f>
        <x:v>No debt</x:v>
      </x:c>
      <x:c r="E70" s="30" t="str">
        <x:f>IF(SUM(E59:E60)&gt;0,E50/SUM(E59:E60),"No debt")</x:f>
        <x:v>No debt</x:v>
      </x:c>
      <x:c r="F70" s="30" t="str">
        <x:f>IF(SUM(F59:F60)&gt;0,F50/SUM(F59:F60),"No debt")</x:f>
        <x:v>No debt</x:v>
      </x:c>
      <x:c r="G70" s="30" t="str">
        <x:f>IF(SUM(G59:G60)&gt;0,G50/SUM(G59:G60),"No debt")</x:f>
        <x:v>No debt</x:v>
      </x:c>
      <x:c r="H70" s="30" t="str">
        <x:f>IF(SUM(H59:H60)&gt;0,H50/SUM(H59:H60),"No debt")</x:f>
        <x:v>No debt</x:v>
      </x:c>
      <x:c r="I70" s="30" t="str">
        <x:f>IF(SUM(I59:I60)&gt;0,I50/SUM(I59:I60),"No debt")</x:f>
        <x:v>No debt</x:v>
      </x:c>
      <x:c r="J70" s="30" t="str">
        <x:f>IF(SUM(J59:J60)&gt;0,J50/SUM(J59:J60),"No debt")</x:f>
        <x:v>No debt</x:v>
      </x:c>
      <x:c r="K70" s="30" t="str">
        <x:f>IF(SUM(K59:K60)&gt;0,K50/SUM(K59:K60),"No debt")</x:f>
        <x:v>No debt</x:v>
      </x:c>
      <x:c r="L70" s="30" t="str">
        <x:f>IF(SUM(L59:L60)&gt;0,L50/SUM(L59:L60),"No debt")</x:f>
        <x:v>No debt</x:v>
      </x:c>
      <x:c r="M70" s="30" t="str">
        <x:f>IF(SUM(M59:M60)&gt;0,M50/SUM(M59:M60),"No debt")</x:f>
        <x:v>No debt</x:v>
      </x:c>
      <x:c r="N70" s="30" t="str">
        <x:f>IF(SUM(N59:N60)&gt;0,N50/SUM(N59:N60),"No debt")</x:f>
        <x:v>No debt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0.5416666666666666</x:v>
      </x:c>
      <x:c r="D71" s="20" t="n">
        <x:f>IF($C$10&gt;0,D43/$C$10,0)</x:f>
        <x:v>0.5525</x:v>
      </x:c>
      <x:c r="E71" s="20" t="n">
        <x:f>IF($C$10&gt;0,E43/$C$10,0)</x:f>
        <x:v>0.56355</x:v>
      </x:c>
      <x:c r="F71" s="20" t="n">
        <x:f>IF($C$10&gt;0,F43/$C$10,0)</x:f>
        <x:v>0.5748209999999999</x:v>
      </x:c>
      <x:c r="G71" s="20" t="n">
        <x:f>IF($C$10&gt;0,G43/$C$10,0)</x:f>
        <x:v>0.58631742</x:v>
      </x:c>
      <x:c r="H71" s="20" t="n">
        <x:f>IF($C$10&gt;0,H43/$C$10,0)</x:f>
        <x:v>0.5980437684000001</x:v>
      </x:c>
      <x:c r="I71" s="20" t="n">
        <x:f>IF($C$10&gt;0,I43/$C$10,0)</x:f>
        <x:v>0.6100046437680001</x:v>
      </x:c>
      <x:c r="J71" s="20" t="n">
        <x:f>IF($C$10&gt;0,J43/$C$10,0)</x:f>
        <x:v>0.6222047366433598</x:v>
      </x:c>
      <x:c r="K71" s="20" t="n">
        <x:f>IF($C$10&gt;0,K43/$C$10,0)</x:f>
        <x:v>0.6346488313762271</x:v>
      </x:c>
      <x:c r="L71" s="20" t="n">
        <x:f>IF($C$10&gt;0,L43/$C$10,0)</x:f>
        <x:v>0.6473418080037516</x:v>
      </x:c>
      <x:c r="M71" s="20" t="n">
        <x:f>IF($C$10&gt;0,M43/$C$10,0)</x:f>
        <x:v>0.6602886441638267</x:v>
      </x:c>
      <x:c r="N71" s="20" t="n">
        <x:f>IF($C$10&gt;0,N43/$C$10,0)</x:f>
        <x:v>0.6734944170471032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4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4fef2382359747e9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Exporter &amp; Importer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160</x:v>
      </x:c>
      <x:c r="D6" s="10" t="str">
        <x:v>completed shipments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15200000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95000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12960000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81000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14000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1200000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2240000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240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1040000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0.14736842105263157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85.71428571428571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2400000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8142857.142857142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350000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0.6666666666666666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3000000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5950000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60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3950000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40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30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12160000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2000000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755200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-444800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15200000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4800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203863763.86753446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15403088.87575255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-21682503.203124333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-27714133.333333332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27714133.333333332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30714133.333333332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160</x:v>
      </x:c>
      <x:c r="D43" s="4" t="n">
        <x:f>MIN($C$10,$C$6*(1+$C$11)^1)</x:f>
        <x:v>163.2</x:v>
      </x:c>
      <x:c r="E43" s="4" t="n">
        <x:f>MIN($C$10,$C$6*(1+$C$11)^2)</x:f>
        <x:v>166.464</x:v>
      </x:c>
      <x:c r="F43" s="4" t="n">
        <x:f>MIN($C$10,$C$6*(1+$C$11)^3)</x:f>
        <x:v>169.79327999999998</x:v>
      </x:c>
      <x:c r="G43" s="4" t="n">
        <x:f>MIN($C$10,$C$6*(1+$C$11)^4)</x:f>
        <x:v>173.1891456</x:v>
      </x:c>
      <x:c r="H43" s="4" t="n">
        <x:f>MIN($C$10,$C$6*(1+$C$11)^5)</x:f>
        <x:v>176.65292851200002</x:v>
      </x:c>
      <x:c r="I43" s="4" t="n">
        <x:f>MIN($C$10,$C$6*(1+$C$11)^6)</x:f>
        <x:v>180.18598708224002</x:v>
      </x:c>
      <x:c r="J43" s="4" t="n">
        <x:f>MIN($C$10,$C$6*(1+$C$11)^7)</x:f>
        <x:v>183.78970682388479</x:v>
      </x:c>
      <x:c r="K43" s="4" t="n">
        <x:f>MIN($C$10,$C$6*(1+$C$11)^8)</x:f>
        <x:v>187.46550096036248</x:v>
      </x:c>
      <x:c r="L43" s="4" t="n">
        <x:f>MIN($C$10,$C$6*(1+$C$11)^9)</x:f>
        <x:v>191.21481097956973</x:v>
      </x:c>
      <x:c r="M43" s="4" t="n">
        <x:f>MIN($C$10,$C$6*(1+$C$11)^10)</x:f>
        <x:v>195.03910719916115</x:v>
      </x:c>
      <x:c r="N43" s="4" t="n">
        <x:f>MIN($C$10,$C$6*(1+$C$11)^11)</x:f>
        <x:v>198.93988934314433</x:v>
      </x:c>
    </x:row>
    <x:row r="44" ht="31" customHeight="1">
      <x:c r="A44" s="10" t="str">
        <x:v>Net unit price</x:v>
      </x:c>
      <x:c r="B44" s="4"/>
      <x:c r="C44" s="4" t="n">
        <x:f>$C$7*(1+$C$34)^0</x:f>
        <x:v>95000</x:v>
      </x:c>
      <x:c r="D44" s="4" t="n">
        <x:f>$C$7*(1+$C$34)^1</x:f>
        <x:v>95000</x:v>
      </x:c>
      <x:c r="E44" s="4" t="n">
        <x:f>$C$7*(1+$C$34)^2</x:f>
        <x:v>95000</x:v>
      </x:c>
      <x:c r="F44" s="4" t="n">
        <x:f>$C$7*(1+$C$34)^3</x:f>
        <x:v>95000</x:v>
      </x:c>
      <x:c r="G44" s="4" t="n">
        <x:f>$C$7*(1+$C$34)^4</x:f>
        <x:v>95000</x:v>
      </x:c>
      <x:c r="H44" s="4" t="n">
        <x:f>$C$7*(1+$C$34)^5</x:f>
        <x:v>95000</x:v>
      </x:c>
      <x:c r="I44" s="4" t="n">
        <x:f>$C$7*(1+$C$34)^6</x:f>
        <x:v>95000</x:v>
      </x:c>
      <x:c r="J44" s="4" t="n">
        <x:f>$C$7*(1+$C$34)^7</x:f>
        <x:v>95000</x:v>
      </x:c>
      <x:c r="K44" s="4" t="n">
        <x:f>$C$7*(1+$C$34)^8</x:f>
        <x:v>95000</x:v>
      </x:c>
      <x:c r="L44" s="4" t="n">
        <x:f>$C$7*(1+$C$34)^9</x:f>
        <x:v>95000</x:v>
      </x:c>
      <x:c r="M44" s="4" t="n">
        <x:f>$C$7*(1+$C$34)^10</x:f>
        <x:v>95000</x:v>
      </x:c>
      <x:c r="N44" s="4" t="n">
        <x:f>$C$7*(1+$C$34)^11</x:f>
        <x:v>95000</x:v>
      </x:c>
    </x:row>
    <x:row r="45" ht="31" customHeight="1">
      <x:c r="A45" s="23" t="str">
        <x:v>Net revenue</x:v>
      </x:c>
      <x:c r="B45" s="22"/>
      <x:c r="C45" s="22" t="n">
        <x:f>C43*C44</x:f>
        <x:v>15200000</x:v>
      </x:c>
      <x:c r="D45" s="22" t="n">
        <x:f>D43*D44</x:f>
        <x:v>15503999.999999998</x:v>
      </x:c>
      <x:c r="E45" s="22" t="n">
        <x:f>E43*E44</x:f>
        <x:v>15814080</x:v>
      </x:c>
      <x:c r="F45" s="22" t="n">
        <x:f>F43*F44</x:f>
        <x:v>16130361.599999998</x:v>
      </x:c>
      <x:c r="G45" s="22" t="n">
        <x:f>G43*G44</x:f>
        <x:v>16452968.831999999</x:v>
      </x:c>
      <x:c r="H45" s="22" t="n">
        <x:f>H43*H44</x:f>
        <x:v>16782028.20864</x:v>
      </x:c>
      <x:c r="I45" s="22" t="n">
        <x:f>I43*I44</x:f>
        <x:v>17117668.772812802</x:v>
      </x:c>
      <x:c r="J45" s="22" t="n">
        <x:f>J43*J44</x:f>
        <x:v>17460022.148269054</x:v>
      </x:c>
      <x:c r="K45" s="22" t="n">
        <x:f>K43*K44</x:f>
        <x:v>17809222.591234434</x:v>
      </x:c>
      <x:c r="L45" s="22" t="n">
        <x:f>L43*L44</x:f>
        <x:v>18165407.043059126</x:v>
      </x:c>
      <x:c r="M45" s="22" t="n">
        <x:f>M43*M44</x:f>
        <x:v>18528715.18392031</x:v>
      </x:c>
      <x:c r="N45" s="22" t="n">
        <x:f>N43*N44</x:f>
        <x:v>18899289.48759871</x:v>
      </x:c>
    </x:row>
    <x:row r="46" ht="31" customHeight="1">
      <x:c r="A46" s="10" t="str">
        <x:v>Variable cost per unit</x:v>
      </x:c>
      <x:c r="B46" s="4"/>
      <x:c r="C46" s="4" t="n">
        <x:f>$C$8</x:f>
        <x:v>81000</x:v>
      </x:c>
      <x:c r="D46" s="4" t="n">
        <x:f>$C$8</x:f>
        <x:v>81000</x:v>
      </x:c>
      <x:c r="E46" s="4" t="n">
        <x:f>$C$8</x:f>
        <x:v>81000</x:v>
      </x:c>
      <x:c r="F46" s="4" t="n">
        <x:f>$C$8</x:f>
        <x:v>81000</x:v>
      </x:c>
      <x:c r="G46" s="4" t="n">
        <x:f>$C$8</x:f>
        <x:v>81000</x:v>
      </x:c>
      <x:c r="H46" s="4" t="n">
        <x:f>$C$8</x:f>
        <x:v>81000</x:v>
      </x:c>
      <x:c r="I46" s="4" t="n">
        <x:f>$C$8</x:f>
        <x:v>81000</x:v>
      </x:c>
      <x:c r="J46" s="4" t="n">
        <x:f>$C$8</x:f>
        <x:v>81000</x:v>
      </x:c>
      <x:c r="K46" s="4" t="n">
        <x:f>$C$8</x:f>
        <x:v>81000</x:v>
      </x:c>
      <x:c r="L46" s="4" t="n">
        <x:f>$C$8</x:f>
        <x:v>81000</x:v>
      </x:c>
      <x:c r="M46" s="4" t="n">
        <x:f>$C$8</x:f>
        <x:v>81000</x:v>
      </x:c>
      <x:c r="N46" s="4" t="n">
        <x:f>$C$8</x:f>
        <x:v>81000</x:v>
      </x:c>
    </x:row>
    <x:row r="47" ht="31" customHeight="1">
      <x:c r="A47" s="10" t="str">
        <x:v>Variable cash cost</x:v>
      </x:c>
      <x:c r="B47" s="4"/>
      <x:c r="C47" s="4" t="n">
        <x:f>C43*C46</x:f>
        <x:v>12960000</x:v>
      </x:c>
      <x:c r="D47" s="4" t="n">
        <x:f>D43*D46</x:f>
        <x:v>13219200</x:v>
      </x:c>
      <x:c r="E47" s="4" t="n">
        <x:f>E43*E46</x:f>
        <x:v>13483584</x:v>
      </x:c>
      <x:c r="F47" s="4" t="n">
        <x:f>F43*F46</x:f>
        <x:v>13753255.679999998</x:v>
      </x:c>
      <x:c r="G47" s="4" t="n">
        <x:f>G43*G46</x:f>
        <x:v>14028320.793599999</x:v>
      </x:c>
      <x:c r="H47" s="4" t="n">
        <x:f>H43*H46</x:f>
        <x:v>14308887.209472</x:v>
      </x:c>
      <x:c r="I47" s="4" t="n">
        <x:f>I43*I46</x:f>
        <x:v>14595064.953661442</x:v>
      </x:c>
      <x:c r="J47" s="4" t="n">
        <x:f>J43*J46</x:f>
        <x:v>14886966.252734667</x:v>
      </x:c>
      <x:c r="K47" s="4" t="n">
        <x:f>K43*K46</x:f>
        <x:v>15184705.57778936</x:v>
      </x:c>
      <x:c r="L47" s="4" t="n">
        <x:f>L43*L46</x:f>
        <x:v>15488399.68934515</x:v>
      </x:c>
      <x:c r="M47" s="4" t="n">
        <x:f>M43*M46</x:f>
        <x:v>15798167.683132052</x:v>
      </x:c>
      <x:c r="N47" s="4" t="n">
        <x:f>N43*N46</x:f>
        <x:v>16114131.03679469</x:v>
      </x:c>
    </x:row>
    <x:row r="48" ht="31" customHeight="1">
      <x:c r="A48" s="10" t="str">
        <x:v>Contribution</x:v>
      </x:c>
      <x:c r="B48" s="4"/>
      <x:c r="C48" s="4" t="n">
        <x:f>C45-C47</x:f>
        <x:v>2240000</x:v>
      </x:c>
      <x:c r="D48" s="4" t="n">
        <x:f>D45-D47</x:f>
        <x:v>2284799.999999998</x:v>
      </x:c>
      <x:c r="E48" s="4" t="n">
        <x:f>E45-E47</x:f>
        <x:v>2330496</x:v>
      </x:c>
      <x:c r="F48" s="4" t="n">
        <x:f>F45-F47</x:f>
        <x:v>2377105.92</x:v>
      </x:c>
      <x:c r="G48" s="4" t="n">
        <x:f>G45-G47</x:f>
        <x:v>2424648.0384</x:v>
      </x:c>
      <x:c r="H48" s="4" t="n">
        <x:f>H45-H47</x:f>
        <x:v>2473140.999168001</x:v>
      </x:c>
      <x:c r="I48" s="4" t="n">
        <x:f>I45-I47</x:f>
        <x:v>2522603.8191513605</x:v>
      </x:c>
      <x:c r="J48" s="4" t="n">
        <x:f>J45-J47</x:f>
        <x:v>2573055.895534387</x:v>
      </x:c>
      <x:c r="K48" s="4" t="n">
        <x:f>K45-K47</x:f>
        <x:v>2624517.0134450737</x:v>
      </x:c>
      <x:c r="L48" s="4" t="n">
        <x:f>L45-L47</x:f>
        <x:v>2677007.353713976</x:v>
      </x:c>
      <x:c r="M48" s="4" t="n">
        <x:f>M45-M47</x:f>
        <x:v>2730547.5007882565</x:v>
      </x:c>
      <x:c r="N48" s="4" t="n">
        <x:f>N45-N47</x:f>
        <x:v>2785158.4508040193</x:v>
      </x:c>
    </x:row>
    <x:row r="49" ht="31" customHeight="1">
      <x:c r="A49" s="10" t="str">
        <x:v>Fixed cash costs</x:v>
      </x:c>
      <x:c r="B49" s="4"/>
      <x:c r="C49" s="4" t="n">
        <x:f>$C$9*(1+$C$12)^0</x:f>
        <x:v>1200000</x:v>
      </x:c>
      <x:c r="D49" s="4" t="n">
        <x:f>$C$9*(1+$C$12)^1</x:f>
        <x:v>1203599.9999999998</x:v>
      </x:c>
      <x:c r="E49" s="4" t="n">
        <x:f>$C$9*(1+$C$12)^2</x:f>
        <x:v>1207210.7999999996</x:v>
      </x:c>
      <x:c r="F49" s="4" t="n">
        <x:f>$C$9*(1+$C$12)^3</x:f>
        <x:v>1210832.4323999996</x:v>
      </x:c>
      <x:c r="G49" s="4" t="n">
        <x:f>$C$9*(1+$C$12)^4</x:f>
        <x:v>1214464.9296971995</x:v>
      </x:c>
      <x:c r="H49" s="4" t="n">
        <x:f>$C$9*(1+$C$12)^5</x:f>
        <x:v>1218108.324486291</x:v>
      </x:c>
      <x:c r="I49" s="4" t="n">
        <x:f>$C$9*(1+$C$12)^6</x:f>
        <x:v>1221762.6494597495</x:v>
      </x:c>
      <x:c r="J49" s="4" t="n">
        <x:f>$C$9*(1+$C$12)^7</x:f>
        <x:v>1225427.9374081285</x:v>
      </x:c>
      <x:c r="K49" s="4" t="n">
        <x:f>$C$9*(1+$C$12)^8</x:f>
        <x:v>1229104.221220353</x:v>
      </x:c>
      <x:c r="L49" s="4" t="n">
        <x:f>$C$9*(1+$C$12)^9</x:f>
        <x:v>1232791.5338840138</x:v>
      </x:c>
      <x:c r="M49" s="4" t="n">
        <x:f>$C$9*(1+$C$12)^10</x:f>
        <x:v>1236489.9084856655</x:v>
      </x:c>
      <x:c r="N49" s="4" t="n">
        <x:f>$C$9*(1+$C$12)^11</x:f>
        <x:v>1240199.3782111227</x:v>
      </x:c>
    </x:row>
    <x:row r="50" ht="31" customHeight="1">
      <x:c r="A50" s="23" t="str">
        <x:v>Operating cash profit (EBITDA)</x:v>
      </x:c>
      <x:c r="B50" s="22"/>
      <x:c r="C50" s="22" t="n">
        <x:f>C48-C49</x:f>
        <x:v>1040000</x:v>
      </x:c>
      <x:c r="D50" s="22" t="n">
        <x:f>D48-D49</x:f>
        <x:v>1081199.9999999984</x:v>
      </x:c>
      <x:c r="E50" s="22" t="n">
        <x:f>E48-E49</x:f>
        <x:v>1123285.2000000004</x:v>
      </x:c>
      <x:c r="F50" s="22" t="n">
        <x:f>F48-F49</x:f>
        <x:v>1166273.4876000003</x:v>
      </x:c>
      <x:c r="G50" s="22" t="n">
        <x:f>G48-G49</x:f>
        <x:v>1210183.1087028005</x:v>
      </x:c>
      <x:c r="H50" s="22" t="n">
        <x:f>H48-H49</x:f>
        <x:v>1255032.67468171</x:v>
      </x:c>
      <x:c r="I50" s="22" t="n">
        <x:f>I48-I49</x:f>
        <x:v>1300841.169691611</x:v>
      </x:c>
      <x:c r="J50" s="22" t="n">
        <x:f>J48-J49</x:f>
        <x:v>1347627.9581262583</x:v>
      </x:c>
      <x:c r="K50" s="22" t="n">
        <x:f>K48-K49</x:f>
        <x:v>1395412.7922247208</x:v>
      </x:c>
      <x:c r="L50" s="22" t="n">
        <x:f>L48-L49</x:f>
        <x:v>1444215.8198299624</x:v>
      </x:c>
      <x:c r="M50" s="22" t="n">
        <x:f>M48-M49</x:f>
        <x:v>1494057.592302591</x:v>
      </x:c>
      <x:c r="N50" s="22" t="n">
        <x:f>N48-N49</x:f>
        <x:v>1544959.0725928966</x:v>
      </x:c>
    </x:row>
    <x:row r="51" ht="31" customHeight="1">
      <x:c r="A51" s="10" t="str">
        <x:v>Planning depreciation</x:v>
      </x:c>
      <x:c r="B51" s="4"/>
      <x:c r="C51" s="4" t="n">
        <x:f>$C$13/$C$33/$C$30</x:f>
        <x:v>40000</x:v>
      </x:c>
      <x:c r="D51" s="4" t="n">
        <x:f>$C$13/$C$33/$C$30</x:f>
        <x:v>40000</x:v>
      </x:c>
      <x:c r="E51" s="4" t="n">
        <x:f>$C$13/$C$33/$C$30</x:f>
        <x:v>40000</x:v>
      </x:c>
      <x:c r="F51" s="4" t="n">
        <x:f>$C$13/$C$33/$C$30</x:f>
        <x:v>40000</x:v>
      </x:c>
      <x:c r="G51" s="4" t="n">
        <x:f>$C$13/$C$33/$C$30</x:f>
        <x:v>40000</x:v>
      </x:c>
      <x:c r="H51" s="4" t="n">
        <x:f>$C$13/$C$33/$C$30</x:f>
        <x:v>40000</x:v>
      </x:c>
      <x:c r="I51" s="4" t="n">
        <x:f>$C$13/$C$33/$C$30</x:f>
        <x:v>40000</x:v>
      </x:c>
      <x:c r="J51" s="4" t="n">
        <x:f>$C$13/$C$33/$C$30</x:f>
        <x:v>40000</x:v>
      </x:c>
      <x:c r="K51" s="4" t="n">
        <x:f>$C$13/$C$33/$C$30</x:f>
        <x:v>40000</x:v>
      </x:c>
      <x:c r="L51" s="4" t="n">
        <x:f>$C$13/$C$33/$C$30</x:f>
        <x:v>40000</x:v>
      </x:c>
      <x:c r="M51" s="4" t="n">
        <x:f>$C$13/$C$33/$C$30</x:f>
        <x:v>40000</x:v>
      </x:c>
      <x:c r="N51" s="4" t="n">
        <x:f>$C$13/$C$33/$C$30</x:f>
        <x:v>40000</x:v>
      </x:c>
    </x:row>
    <x:row r="52" ht="31" customHeight="1">
      <x:c r="A52" s="10" t="str">
        <x:v>Operating profit (EBIT)</x:v>
      </x:c>
      <x:c r="B52" s="4"/>
      <x:c r="C52" s="4" t="n">
        <x:f>C50-C51</x:f>
        <x:v>1000000</x:v>
      </x:c>
      <x:c r="D52" s="4" t="n">
        <x:f>D50-D51</x:f>
        <x:v>1041199.9999999984</x:v>
      </x:c>
      <x:c r="E52" s="4" t="n">
        <x:f>E50-E51</x:f>
        <x:v>1083285.2000000004</x:v>
      </x:c>
      <x:c r="F52" s="4" t="n">
        <x:f>F50-F51</x:f>
        <x:v>1126273.4876000003</x:v>
      </x:c>
      <x:c r="G52" s="4" t="n">
        <x:f>G50-G51</x:f>
        <x:v>1170183.1087028005</x:v>
      </x:c>
      <x:c r="H52" s="4" t="n">
        <x:f>H50-H51</x:f>
        <x:v>1215032.67468171</x:v>
      </x:c>
      <x:c r="I52" s="4" t="n">
        <x:f>I50-I51</x:f>
        <x:v>1260841.169691611</x:v>
      </x:c>
      <x:c r="J52" s="4" t="n">
        <x:f>J50-J51</x:f>
        <x:v>1307627.9581262583</x:v>
      </x:c>
      <x:c r="K52" s="4" t="n">
        <x:f>K50-K51</x:f>
        <x:v>1355412.7922247208</x:v>
      </x:c>
      <x:c r="L52" s="4" t="n">
        <x:f>L50-L51</x:f>
        <x:v>1404215.8198299624</x:v>
      </x:c>
      <x:c r="M52" s="4" t="n">
        <x:f>M50-M51</x:f>
        <x:v>1454057.592302591</x:v>
      </x:c>
      <x:c r="N52" s="4" t="n">
        <x:f>N50-N51</x:f>
        <x:v>1504959.0725928966</x:v>
      </x:c>
    </x:row>
    <x:row r="53" ht="31" customHeight="1">
      <x:c r="A53" s="10" t="str">
        <x:v>Receivables</x:v>
      </x:c>
      <x:c r="B53" s="4"/>
      <x:c r="C53" s="4" t="n">
        <x:f>C45*$C$16/$C$29</x:f>
        <x:v>30400000</x:v>
      </x:c>
      <x:c r="D53" s="4" t="n">
        <x:f>D45*$C$16/$C$29</x:f>
        <x:v>31007999.999999996</x:v>
      </x:c>
      <x:c r="E53" s="4" t="n">
        <x:f>E45*$C$16/$C$29</x:f>
        <x:v>31628160</x:v>
      </x:c>
      <x:c r="F53" s="4" t="n">
        <x:f>F45*$C$16/$C$29</x:f>
        <x:v>32260723.199999996</x:v>
      </x:c>
      <x:c r="G53" s="4" t="n">
        <x:f>G45*$C$16/$C$29</x:f>
        <x:v>32905937.663999997</x:v>
      </x:c>
      <x:c r="H53" s="4" t="n">
        <x:f>H45*$C$16/$C$29</x:f>
        <x:v>33564056.41728</x:v>
      </x:c>
      <x:c r="I53" s="4" t="n">
        <x:f>I45*$C$16/$C$29</x:f>
        <x:v>34235337.545625605</x:v>
      </x:c>
      <x:c r="J53" s="4" t="n">
        <x:f>J45*$C$16/$C$29</x:f>
        <x:v>34920044.29653811</x:v>
      </x:c>
      <x:c r="K53" s="4" t="n">
        <x:f>K45*$C$16/$C$29</x:f>
        <x:v>35618445.18246887</x:v>
      </x:c>
      <x:c r="L53" s="4" t="n">
        <x:f>L45*$C$16/$C$29</x:f>
        <x:v>36330814.08611825</x:v>
      </x:c>
      <x:c r="M53" s="4" t="n">
        <x:f>M45*$C$16/$C$29</x:f>
        <x:v>37057430.36784062</x:v>
      </x:c>
      <x:c r="N53" s="4" t="n">
        <x:f>N45*$C$16/$C$29</x:f>
        <x:v>37798578.97519742</x:v>
      </x:c>
    </x:row>
    <x:row r="54" ht="31" customHeight="1">
      <x:c r="A54" s="10" t="str">
        <x:v>Own inventory</x:v>
      </x:c>
      <x:c r="B54" s="4"/>
      <x:c r="C54" s="4" t="n">
        <x:f>C47*$C$31*$C$17/$C$29</x:f>
        <x:v>10368000</x:v>
      </x:c>
      <x:c r="D54" s="4" t="n">
        <x:f>D47*$C$31*$C$17/$C$29</x:f>
        <x:v>10575360</x:v>
      </x:c>
      <x:c r="E54" s="4" t="n">
        <x:f>E47*$C$31*$C$17/$C$29</x:f>
        <x:v>10786867.2</x:v>
      </x:c>
      <x:c r="F54" s="4" t="n">
        <x:f>F47*$C$31*$C$17/$C$29</x:f>
        <x:v>11002604.543999998</x:v>
      </x:c>
      <x:c r="G54" s="4" t="n">
        <x:f>G47*$C$31*$C$17/$C$29</x:f>
        <x:v>11222656.634879999</x:v>
      </x:c>
      <x:c r="H54" s="4" t="n">
        <x:f>H47*$C$31*$C$17/$C$29</x:f>
        <x:v>11447109.7675776</x:v>
      </x:c>
      <x:c r="I54" s="4" t="n">
        <x:f>I47*$C$31*$C$17/$C$29</x:f>
        <x:v>11676051.962929152</x:v>
      </x:c>
      <x:c r="J54" s="4" t="n">
        <x:f>J47*$C$31*$C$17/$C$29</x:f>
        <x:v>11909573.002187733</x:v>
      </x:c>
      <x:c r="K54" s="4" t="n">
        <x:f>K47*$C$31*$C$17/$C$29</x:f>
        <x:v>12147764.462231487</x:v>
      </x:c>
      <x:c r="L54" s="4" t="n">
        <x:f>L47*$C$31*$C$17/$C$29</x:f>
        <x:v>12390719.751476118</x:v>
      </x:c>
      <x:c r="M54" s="4" t="n">
        <x:f>M47*$C$31*$C$17/$C$29</x:f>
        <x:v>12638534.146505643</x:v>
      </x:c>
      <x:c r="N54" s="4" t="n">
        <x:f>N47*$C$31*$C$17/$C$29</x:f>
        <x:v>12891304.829435749</x:v>
      </x:c>
    </x:row>
    <x:row r="55" ht="31" customHeight="1">
      <x:c r="A55" s="10" t="str">
        <x:v>Supplier payables</x:v>
      </x:c>
      <x:c r="B55" s="4"/>
      <x:c r="C55" s="4" t="n">
        <x:f>C47*$C$32*$C$18/$C$29</x:f>
        <x:v>9072000</x:v>
      </x:c>
      <x:c r="D55" s="4" t="n">
        <x:f>D47*$C$32*$C$18/$C$29</x:f>
        <x:v>9253440</x:v>
      </x:c>
      <x:c r="E55" s="4" t="n">
        <x:f>E47*$C$32*$C$18/$C$29</x:f>
        <x:v>9438508.799999999</x:v>
      </x:c>
      <x:c r="F55" s="4" t="n">
        <x:f>F47*$C$32*$C$18/$C$29</x:f>
        <x:v>9627278.975999998</x:v>
      </x:c>
      <x:c r="G55" s="4" t="n">
        <x:f>G47*$C$32*$C$18/$C$29</x:f>
        <x:v>9819824.555519998</x:v>
      </x:c>
      <x:c r="H55" s="4" t="n">
        <x:f>H47*$C$32*$C$18/$C$29</x:f>
        <x:v>10016221.0466304</x:v>
      </x:c>
      <x:c r="I55" s="4" t="n">
        <x:f>I47*$C$32*$C$18/$C$29</x:f>
        <x:v>10216545.467563009</x:v>
      </x:c>
      <x:c r="J55" s="4" t="n">
        <x:f>J47*$C$32*$C$18/$C$29</x:f>
        <x:v>10420876.376914266</x:v>
      </x:c>
      <x:c r="K55" s="4" t="n">
        <x:f>K47*$C$32*$C$18/$C$29</x:f>
        <x:v>10629293.904452551</x:v>
      </x:c>
      <x:c r="L55" s="4" t="n">
        <x:f>L47*$C$32*$C$18/$C$29</x:f>
        <x:v>10841879.782541605</x:v>
      </x:c>
      <x:c r="M55" s="4" t="n">
        <x:f>M47*$C$32*$C$18/$C$29</x:f>
        <x:v>11058717.378192436</x:v>
      </x:c>
      <x:c r="N55" s="4" t="n">
        <x:f>N47*$C$32*$C$18/$C$29</x:f>
        <x:v>11279891.725756282</x:v>
      </x:c>
    </x:row>
    <x:row r="56" ht="31" customHeight="1">
      <x:c r="A56" s="23" t="str">
        <x:v>Net working capital</x:v>
      </x:c>
      <x:c r="B56" s="22"/>
      <x:c r="C56" s="22" t="n">
        <x:f>C53+C54-C55</x:f>
        <x:v>31696000</x:v>
      </x:c>
      <x:c r="D56" s="22" t="n">
        <x:f>D53+D54-D55</x:f>
        <x:v>32329920</x:v>
      </x:c>
      <x:c r="E56" s="22" t="n">
        <x:f>E53+E54-E55</x:f>
        <x:v>32976518.400000006</x:v>
      </x:c>
      <x:c r="F56" s="22" t="n">
        <x:f>F53+F54-F55</x:f>
        <x:v>33636048.768</x:v>
      </x:c>
      <x:c r="G56" s="22" t="n">
        <x:f>G53+G54-G55</x:f>
        <x:v>34308769.74336</x:v>
      </x:c>
      <x:c r="H56" s="22" t="n">
        <x:f>H53+H54-H55</x:f>
        <x:v>34994945.13822721</x:v>
      </x:c>
      <x:c r="I56" s="22" t="n">
        <x:f>I53+I54-I55</x:f>
        <x:v>35694844.040991746</x:v>
      </x:c>
      <x:c r="J56" s="22" t="n">
        <x:f>J53+J54-J55</x:f>
        <x:v>36408740.92181158</x:v>
      </x:c>
      <x:c r="K56" s="22" t="n">
        <x:f>K53+K54-K55</x:f>
        <x:v>37136915.7402478</x:v>
      </x:c>
      <x:c r="L56" s="22" t="n">
        <x:f>L53+L54-L55</x:f>
        <x:v>37879654.055052765</x:v>
      </x:c>
      <x:c r="M56" s="22" t="n">
        <x:f>M53+M54-M55</x:f>
        <x:v>38637247.13615382</x:v>
      </x:c>
      <x:c r="N56" s="22" t="n">
        <x:f>N53+N54-N55</x:f>
        <x:v>39409992.07887689</x:v>
      </x:c>
    </x:row>
    <x:row r="57" ht="31" customHeight="1">
      <x:c r="A57" s="10" t="str">
        <x:v>Increase in working capital</x:v>
      </x:c>
      <x:c r="B57" s="4"/>
      <x:c r="C57" s="4" t="n">
        <x:f>C56</x:f>
        <x:v>31696000</x:v>
      </x:c>
      <x:c r="D57" s="4" t="n">
        <x:f>D56-C56</x:f>
        <x:v>633920</x:v>
      </x:c>
      <x:c r="E57" s="4" t="n">
        <x:f>E56-D56</x:f>
        <x:v>646598.400000006</x:v>
      </x:c>
      <x:c r="F57" s="4" t="n">
        <x:f>F56-E56</x:f>
        <x:v>659530.3679999933</x:v>
      </x:c>
      <x:c r="G57" s="4" t="n">
        <x:f>G56-F56</x:f>
        <x:v>672720.9753599986</x:v>
      </x:c>
      <x:c r="H57" s="4" t="n">
        <x:f>H56-G56</x:f>
        <x:v>686175.3948672116</x:v>
      </x:c>
      <x:c r="I57" s="4" t="n">
        <x:f>I56-H56</x:f>
        <x:v>699898.9027645364</x:v>
      </x:c>
      <x:c r="J57" s="4" t="n">
        <x:f>J56-I56</x:f>
        <x:v>713896.8808198348</x:v>
      </x:c>
      <x:c r="K57" s="4" t="n">
        <x:f>K56-J56</x:f>
        <x:v>728174.8184362203</x:v>
      </x:c>
      <x:c r="L57" s="4" t="n">
        <x:f>L56-K56</x:f>
        <x:v>742738.3148049638</x:v>
      </x:c>
      <x:c r="M57" s="4" t="n">
        <x:f>M56-L56</x:f>
        <x:v>757593.0811010525</x:v>
      </x:c>
      <x:c r="N57" s="4" t="n">
        <x:f>N56-M56</x:f>
        <x:v>772744.9427230731</x:v>
      </x:c>
    </x:row>
    <x:row r="58" ht="31" customHeight="1">
      <x:c r="A58" s="10" t="str">
        <x:v>Opening debt</x:v>
      </x:c>
      <x:c r="B58" s="4"/>
      <x:c r="C58" s="4" t="n">
        <x:f>$C$19</x:f>
        <x:v>2000000</x:v>
      </x:c>
      <x:c r="D58" s="4" t="n">
        <x:f>C61</x:f>
        <x:v>1966666.6666666667</x:v>
      </x:c>
      <x:c r="E58" s="4" t="n">
        <x:f>D61</x:f>
        <x:v>1933333.3333333335</x:v>
      </x:c>
      <x:c r="F58" s="4" t="n">
        <x:f>E61</x:f>
        <x:v>1900000.0000000002</x:v>
      </x:c>
      <x:c r="G58" s="4" t="n">
        <x:f>F61</x:f>
        <x:v>1866666.666666667</x:v>
      </x:c>
      <x:c r="H58" s="4" t="n">
        <x:f>G61</x:f>
        <x:v>1833333.3333333337</x:v>
      </x:c>
      <x:c r="I58" s="4" t="n">
        <x:f>H61</x:f>
        <x:v>1800000.0000000005</x:v>
      </x:c>
      <x:c r="J58" s="4" t="n">
        <x:f>I61</x:f>
        <x:v>1766666.6666666672</x:v>
      </x:c>
      <x:c r="K58" s="4" t="n">
        <x:f>J61</x:f>
        <x:v>1733333.333333334</x:v>
      </x:c>
      <x:c r="L58" s="4" t="n">
        <x:f>K61</x:f>
        <x:v>1700000.0000000007</x:v>
      </x:c>
      <x:c r="M58" s="4" t="n">
        <x:f>L61</x:f>
        <x:v>1666666.6666666674</x:v>
      </x:c>
      <x:c r="N58" s="4" t="n">
        <x:f>M61</x:f>
        <x:v>1633333.3333333342</x:v>
      </x:c>
    </x:row>
    <x:row r="59" ht="31" customHeight="1">
      <x:c r="A59" s="10" t="str">
        <x:v>Interest cash</x:v>
      </x:c>
      <x:c r="B59" s="4"/>
      <x:c r="C59" s="4" t="n">
        <x:f>C58*$C$20/$C$30</x:f>
        <x:v>20000</x:v>
      </x:c>
      <x:c r="D59" s="4" t="n">
        <x:f>D58*$C$20/$C$30</x:f>
        <x:v>19666.666666666668</x:v>
      </x:c>
      <x:c r="E59" s="4" t="n">
        <x:f>E58*$C$20/$C$30</x:f>
        <x:v>19333.333333333332</x:v>
      </x:c>
      <x:c r="F59" s="4" t="n">
        <x:f>F58*$C$20/$C$30</x:f>
        <x:v>19000.000000000004</x:v>
      </x:c>
      <x:c r="G59" s="4" t="n">
        <x:f>G58*$C$20/$C$30</x:f>
        <x:v>18666.666666666668</x:v>
      </x:c>
      <x:c r="H59" s="4" t="n">
        <x:f>H58*$C$20/$C$30</x:f>
        <x:v>18333.333333333336</x:v>
      </x:c>
      <x:c r="I59" s="4" t="n">
        <x:f>I58*$C$20/$C$30</x:f>
        <x:v>18000.000000000004</x:v>
      </x:c>
      <x:c r="J59" s="4" t="n">
        <x:f>J58*$C$20/$C$30</x:f>
        <x:v>17666.66666666667</x:v>
      </x:c>
      <x:c r="K59" s="4" t="n">
        <x:f>K58*$C$20/$C$30</x:f>
        <x:v>17333.33333333334</x:v>
      </x:c>
      <x:c r="L59" s="4" t="n">
        <x:f>L58*$C$20/$C$30</x:f>
        <x:v>17000.000000000007</x:v>
      </x:c>
      <x:c r="M59" s="4" t="n">
        <x:f>M58*$C$20/$C$30</x:f>
        <x:v>16666.666666666675</x:v>
      </x:c>
      <x:c r="N59" s="4" t="n">
        <x:f>N58*$C$20/$C$30</x:f>
        <x:v>16333.333333333341</x:v>
      </x:c>
    </x:row>
    <x:row r="60" ht="31" customHeight="1">
      <x:c r="A60" s="10" t="str">
        <x:v>Principal repayment</x:v>
      </x:c>
      <x:c r="B60" s="4"/>
      <x:c r="C60" s="4" t="n">
        <x:f>MIN(C58,$C$19/$C$21)</x:f>
        <x:v>33333.333333333336</x:v>
      </x:c>
      <x:c r="D60" s="4" t="n">
        <x:f>MIN(D58,$C$19/$C$21)</x:f>
        <x:v>33333.333333333336</x:v>
      </x:c>
      <x:c r="E60" s="4" t="n">
        <x:f>MIN(E58,$C$19/$C$21)</x:f>
        <x:v>33333.333333333336</x:v>
      </x:c>
      <x:c r="F60" s="4" t="n">
        <x:f>MIN(F58,$C$19/$C$21)</x:f>
        <x:v>33333.333333333336</x:v>
      </x:c>
      <x:c r="G60" s="4" t="n">
        <x:f>MIN(G58,$C$19/$C$21)</x:f>
        <x:v>33333.333333333336</x:v>
      </x:c>
      <x:c r="H60" s="4" t="n">
        <x:f>MIN(H58,$C$19/$C$21)</x:f>
        <x:v>33333.333333333336</x:v>
      </x:c>
      <x:c r="I60" s="4" t="n">
        <x:f>MIN(I58,$C$19/$C$21)</x:f>
        <x:v>33333.333333333336</x:v>
      </x:c>
      <x:c r="J60" s="4" t="n">
        <x:f>MIN(J58,$C$19/$C$21)</x:f>
        <x:v>33333.333333333336</x:v>
      </x:c>
      <x:c r="K60" s="4" t="n">
        <x:f>MIN(K58,$C$19/$C$21)</x:f>
        <x:v>33333.333333333336</x:v>
      </x:c>
      <x:c r="L60" s="4" t="n">
        <x:f>MIN(L58,$C$19/$C$21)</x:f>
        <x:v>33333.333333333336</x:v>
      </x:c>
      <x:c r="M60" s="4" t="n">
        <x:f>MIN(M58,$C$19/$C$21)</x:f>
        <x:v>33333.333333333336</x:v>
      </x:c>
      <x:c r="N60" s="4" t="n">
        <x:f>MIN(N58,$C$19/$C$21)</x:f>
        <x:v>33333.333333333336</x:v>
      </x:c>
    </x:row>
    <x:row r="61" ht="31" customHeight="1">
      <x:c r="A61" s="10" t="str">
        <x:v>Closing debt</x:v>
      </x:c>
      <x:c r="B61" s="4"/>
      <x:c r="C61" s="4" t="n">
        <x:f>C58-C60</x:f>
        <x:v>1966666.6666666667</x:v>
      </x:c>
      <x:c r="D61" s="4" t="n">
        <x:f>D58-D60</x:f>
        <x:v>1933333.3333333335</x:v>
      </x:c>
      <x:c r="E61" s="4" t="n">
        <x:f>E58-E60</x:f>
        <x:v>1900000.0000000002</x:v>
      </x:c>
      <x:c r="F61" s="4" t="n">
        <x:f>F58-F60</x:f>
        <x:v>1866666.666666667</x:v>
      </x:c>
      <x:c r="G61" s="4" t="n">
        <x:f>G58-G60</x:f>
        <x:v>1833333.3333333337</x:v>
      </x:c>
      <x:c r="H61" s="4" t="n">
        <x:f>H58-H60</x:f>
        <x:v>1800000.0000000005</x:v>
      </x:c>
      <x:c r="I61" s="4" t="n">
        <x:f>I58-I60</x:f>
        <x:v>1766666.6666666672</x:v>
      </x:c>
      <x:c r="J61" s="4" t="n">
        <x:f>J58-J60</x:f>
        <x:v>1733333.333333334</x:v>
      </x:c>
      <x:c r="K61" s="4" t="n">
        <x:f>K58-K60</x:f>
        <x:v>1700000.0000000007</x:v>
      </x:c>
      <x:c r="L61" s="4" t="n">
        <x:f>L58-L60</x:f>
        <x:v>1666666.6666666674</x:v>
      </x:c>
      <x:c r="M61" s="4" t="n">
        <x:f>M58-M60</x:f>
        <x:v>1633333.3333333342</x:v>
      </x:c>
      <x:c r="N61" s="4" t="n">
        <x:f>N58-N60</x:f>
        <x:v>1600000.000000001</x:v>
      </x:c>
    </x:row>
    <x:row r="62" ht="31" customHeight="1">
      <x:c r="A62" s="10" t="str">
        <x:v>Maintenance capital spend</x:v>
      </x:c>
      <x:c r="B62" s="4"/>
      <x:c r="C62" s="4" t="n">
        <x:f>$C$22</x:f>
        <x:v>4800</x:v>
      </x:c>
      <x:c r="D62" s="4" t="n">
        <x:f>$C$22</x:f>
        <x:v>4800</x:v>
      </x:c>
      <x:c r="E62" s="4" t="n">
        <x:f>$C$22</x:f>
        <x:v>4800</x:v>
      </x:c>
      <x:c r="F62" s="4" t="n">
        <x:f>$C$22</x:f>
        <x:v>4800</x:v>
      </x:c>
      <x:c r="G62" s="4" t="n">
        <x:f>$C$22</x:f>
        <x:v>4800</x:v>
      </x:c>
      <x:c r="H62" s="4" t="n">
        <x:f>$C$22</x:f>
        <x:v>4800</x:v>
      </x:c>
      <x:c r="I62" s="4" t="n">
        <x:f>$C$22</x:f>
        <x:v>4800</x:v>
      </x:c>
      <x:c r="J62" s="4" t="n">
        <x:f>$C$22</x:f>
        <x:v>4800</x:v>
      </x:c>
      <x:c r="K62" s="4" t="n">
        <x:f>$C$22</x:f>
        <x:v>4800</x:v>
      </x:c>
      <x:c r="L62" s="4" t="n">
        <x:f>$C$22</x:f>
        <x:v>4800</x:v>
      </x:c>
      <x:c r="M62" s="4" t="n">
        <x:f>$C$22</x:f>
        <x:v>4800</x:v>
      </x:c>
      <x:c r="N62" s="4" t="n">
        <x:f>$C$22</x:f>
        <x:v>4800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-30714133.333333332</x:v>
      </x:c>
      <x:c r="D66" s="22" t="n">
        <x:f>D50-D57-SUM(D59:D60)-SUM(D62:D65)</x:f>
        <x:v>389479.99999999837</x:v>
      </x:c>
      <x:c r="E66" s="22" t="n">
        <x:f>E50-E57-SUM(E59:E60)-SUM(E62:E65)</x:f>
        <x:v>419220.1333333278</x:v>
      </x:c>
      <x:c r="F66" s="22" t="n">
        <x:f>F50-F57-SUM(F59:F60)-SUM(F62:F65)</x:f>
        <x:v>449609.7862666737</x:v>
      </x:c>
      <x:c r="G66" s="22" t="n">
        <x:f>G50-G57-SUM(G59:G60)-SUM(G62:G65)</x:f>
        <x:v>480662.1333428018</x:v>
      </x:c>
      <x:c r="H66" s="22" t="n">
        <x:f>H50-H57-SUM(H59:H60)-SUM(H62:H65)</x:f>
        <x:v>512390.6131478318</x:v>
      </x:c>
      <x:c r="I66" s="22" t="n">
        <x:f>I50-I57-SUM(I59:I60)-SUM(I62:I65)</x:f>
        <x:v>544808.9335937413</x:v>
      </x:c>
      <x:c r="J66" s="22" t="n">
        <x:f>J50-J57-SUM(J59:J60)-SUM(J62:J65)</x:f>
        <x:v>577931.0773064236</x:v>
      </x:c>
      <x:c r="K66" s="22" t="n">
        <x:f>K50-K57-SUM(K59:K60)-SUM(K62:K65)</x:f>
        <x:v>611771.3071218339</x:v>
      </x:c>
      <x:c r="L66" s="22" t="n">
        <x:f>L50-L57-SUM(L59:L60)-SUM(L62:L65)</x:f>
        <x:v>646344.1716916653</x:v>
      </x:c>
      <x:c r="M66" s="22" t="n">
        <x:f>M50-M57-SUM(M59:M60)-SUM(M62:M65)</x:f>
        <x:v>681664.5112015386</x:v>
      </x:c>
      <x:c r="N66" s="22" t="n">
        <x:f>N50-N57-SUM(N59:N60)-SUM(N62:N65)</x:f>
        <x:v>717747.463203157</x:v>
      </x:c>
    </x:row>
    <x:row r="67" ht="31" customHeight="1">
      <x:c r="A67" s="10" t="str">
        <x:v>Opening cash</x:v>
      </x:c>
      <x:c r="B67" s="4"/>
      <x:c r="C67" s="4" t="n">
        <x:f>$C$15</x:f>
        <x:v>3000000</x:v>
      </x:c>
      <x:c r="D67" s="4" t="n">
        <x:f>C68</x:f>
        <x:v>-27714133.333333332</x:v>
      </x:c>
      <x:c r="E67" s="4" t="n">
        <x:f>D68</x:f>
        <x:v>-27324653.333333332</x:v>
      </x:c>
      <x:c r="F67" s="4" t="n">
        <x:f>E68</x:f>
        <x:v>-26905433.200000003</x:v>
      </x:c>
      <x:c r="G67" s="4" t="n">
        <x:f>F68</x:f>
        <x:v>-26455823.41373333</x:v>
      </x:c>
      <x:c r="H67" s="4" t="n">
        <x:f>G68</x:f>
        <x:v>-25975161.280390527</x:v>
      </x:c>
      <x:c r="I67" s="4" t="n">
        <x:f>H68</x:f>
        <x:v>-25462770.667242695</x:v>
      </x:c>
      <x:c r="J67" s="4" t="n">
        <x:f>I68</x:f>
        <x:v>-24917961.733648952</x:v>
      </x:c>
      <x:c r="K67" s="4" t="n">
        <x:f>J68</x:f>
        <x:v>-24340030.65634253</x:v>
      </x:c>
      <x:c r="L67" s="4" t="n">
        <x:f>K68</x:f>
        <x:v>-23728259.349220693</x:v>
      </x:c>
      <x:c r="M67" s="4" t="n">
        <x:f>L68</x:f>
        <x:v>-23081915.17752903</x:v>
      </x:c>
      <x:c r="N67" s="4" t="n">
        <x:f>M68</x:f>
        <x:v>-22400250.66632749</x:v>
      </x:c>
    </x:row>
    <x:row r="68" ht="31" customHeight="1">
      <x:c r="A68" s="23" t="str">
        <x:v>Closing cash</x:v>
      </x:c>
      <x:c r="B68" s="22"/>
      <x:c r="C68" s="22" t="n">
        <x:f>C67+C66</x:f>
        <x:v>-27714133.333333332</x:v>
      </x:c>
      <x:c r="D68" s="22" t="n">
        <x:f>D67+D66</x:f>
        <x:v>-27324653.333333332</x:v>
      </x:c>
      <x:c r="E68" s="22" t="n">
        <x:f>E67+E66</x:f>
        <x:v>-26905433.200000003</x:v>
      </x:c>
      <x:c r="F68" s="22" t="n">
        <x:f>F67+F66</x:f>
        <x:v>-26455823.41373333</x:v>
      </x:c>
      <x:c r="G68" s="22" t="n">
        <x:f>G67+G66</x:f>
        <x:v>-25975161.280390527</x:v>
      </x:c>
      <x:c r="H68" s="22" t="n">
        <x:f>H67+H66</x:f>
        <x:v>-25462770.667242695</x:v>
      </x:c>
      <x:c r="I68" s="22" t="n">
        <x:f>I67+I66</x:f>
        <x:v>-24917961.733648952</x:v>
      </x:c>
      <x:c r="J68" s="22" t="n">
        <x:f>J67+J66</x:f>
        <x:v>-24340030.65634253</x:v>
      </x:c>
      <x:c r="K68" s="22" t="n">
        <x:f>K67+K66</x:f>
        <x:v>-23728259.349220693</x:v>
      </x:c>
      <x:c r="L68" s="22" t="n">
        <x:f>L67+L66</x:f>
        <x:v>-23081915.17752903</x:v>
      </x:c>
      <x:c r="M68" s="22" t="n">
        <x:f>M67+M66</x:f>
        <x:v>-22400250.66632749</x:v>
      </x:c>
      <x:c r="N68" s="22" t="n">
        <x:f>N67+N66</x:f>
        <x:v>-21682503.203124333</x:v>
      </x:c>
    </x:row>
    <x:row r="69" ht="31" customHeight="1">
      <x:c r="A69" s="10" t="str">
        <x:v>Cash-buffer shortfall</x:v>
      </x:c>
      <x:c r="B69" s="4"/>
      <x:c r="C69" s="4" t="n">
        <x:f>MAX(0,$C$15-C68)</x:f>
        <x:v>30714133.333333332</x:v>
      </x:c>
      <x:c r="D69" s="4" t="n">
        <x:f>MAX(0,$C$15-D68)</x:f>
        <x:v>30324653.333333332</x:v>
      </x:c>
      <x:c r="E69" s="4" t="n">
        <x:f>MAX(0,$C$15-E68)</x:f>
        <x:v>29905433.200000003</x:v>
      </x:c>
      <x:c r="F69" s="4" t="n">
        <x:f>MAX(0,$C$15-F68)</x:f>
        <x:v>29455823.41373333</x:v>
      </x:c>
      <x:c r="G69" s="4" t="n">
        <x:f>MAX(0,$C$15-G68)</x:f>
        <x:v>28975161.280390527</x:v>
      </x:c>
      <x:c r="H69" s="4" t="n">
        <x:f>MAX(0,$C$15-H68)</x:f>
        <x:v>28462770.667242695</x:v>
      </x:c>
      <x:c r="I69" s="4" t="n">
        <x:f>MAX(0,$C$15-I68)</x:f>
        <x:v>27917961.733648952</x:v>
      </x:c>
      <x:c r="J69" s="4" t="n">
        <x:f>MAX(0,$C$15-J68)</x:f>
        <x:v>27340030.65634253</x:v>
      </x:c>
      <x:c r="K69" s="4" t="n">
        <x:f>MAX(0,$C$15-K68)</x:f>
        <x:v>26728259.349220693</x:v>
      </x:c>
      <x:c r="L69" s="4" t="n">
        <x:f>MAX(0,$C$15-L68)</x:f>
        <x:v>26081915.17752903</x:v>
      </x:c>
      <x:c r="M69" s="4" t="n">
        <x:f>MAX(0,$C$15-M68)</x:f>
        <x:v>25400250.66632749</x:v>
      </x:c>
      <x:c r="N69" s="4" t="n">
        <x:f>MAX(0,$C$15-N68)</x:f>
        <x:v>24682503.203124333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19.5</x:v>
      </x:c>
      <x:c r="D70" s="30" t="n">
        <x:f>IF(SUM(D59:D60)&gt;0,D50/SUM(D59:D60),"No debt")</x:f>
        <x:v>20.39999999999997</x:v>
      </x:c>
      <x:c r="E70" s="30" t="n">
        <x:f>IF(SUM(E59:E60)&gt;0,E50/SUM(E59:E60),"No debt")</x:f>
        <x:v>21.328200000000006</x:v>
      </x:c>
      <x:c r="F70" s="30" t="n">
        <x:f>IF(SUM(F59:F60)&gt;0,F50/SUM(F59:F60),"No debt")</x:f>
        <x:v>22.28548065477707</x:v>
      </x:c>
      <x:c r="G70" s="30" t="n">
        <x:f>IF(SUM(G59:G60)&gt;0,G50/SUM(G59:G60),"No debt")</x:f>
        <x:v>23.27275209043847</x:v>
      </x:c>
      <x:c r="H70" s="30" t="n">
        <x:f>IF(SUM(H59:H60)&gt;0,H50/SUM(H59:H60),"No debt")</x:f>
        <x:v>24.29095499383955</x:v>
      </x:c>
      <x:c r="I70" s="30" t="n">
        <x:f>IF(SUM(I59:I60)&gt;0,I50/SUM(I59:I60),"No debt")</x:f>
        <x:v>25.341061747239173</x:v>
      </x:c>
      <x:c r="J70" s="30" t="n">
        <x:f>IF(SUM(J59:J60)&gt;0,J50/SUM(J59:J60),"No debt")</x:f>
        <x:v>26.424077610318786</x:v>
      </x:c>
      <x:c r="K70" s="30" t="n">
        <x:f>IF(SUM(K59:K60)&gt;0,K50/SUM(K59:K60),"No debt")</x:f>
        <x:v>27.5410419518037</x:v>
      </x:c>
      <x:c r="L70" s="30" t="n">
        <x:f>IF(SUM(L59:L60)&gt;0,L50/SUM(L59:L60),"No debt")</x:f>
        <x:v>28.693029533045607</x:v>
      </x:c>
      <x:c r="M70" s="30" t="n">
        <x:f>IF(SUM(M59:M60)&gt;0,M50/SUM(M59:M60),"No debt")</x:f>
        <x:v>29.881151846051814</x:v>
      </x:c>
      <x:c r="N70" s="30" t="n">
        <x:f>IF(SUM(N59:N60)&gt;0,N50/SUM(N59:N60),"No debt")</x:f>
        <x:v>31.106558508581806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0.6666666666666666</x:v>
      </x:c>
      <x:c r="D71" s="20" t="n">
        <x:f>IF($C$10&gt;0,D43/$C$10,0)</x:f>
        <x:v>0.6799999999999999</x:v>
      </x:c>
      <x:c r="E71" s="20" t="n">
        <x:f>IF($C$10&gt;0,E43/$C$10,0)</x:f>
        <x:v>0.6936</x:v>
      </x:c>
      <x:c r="F71" s="20" t="n">
        <x:f>IF($C$10&gt;0,F43/$C$10,0)</x:f>
        <x:v>0.7074719999999999</x:v>
      </x:c>
      <x:c r="G71" s="20" t="n">
        <x:f>IF($C$10&gt;0,G43/$C$10,0)</x:f>
        <x:v>0.72162144</x:v>
      </x:c>
      <x:c r="H71" s="20" t="n">
        <x:f>IF($C$10&gt;0,H43/$C$10,0)</x:f>
        <x:v>0.7360538688000001</x:v>
      </x:c>
      <x:c r="I71" s="20" t="n">
        <x:f>IF($C$10&gt;0,I43/$C$10,0)</x:f>
        <x:v>0.750774946176</x:v>
      </x:c>
      <x:c r="J71" s="20" t="n">
        <x:f>IF($C$10&gt;0,J43/$C$10,0)</x:f>
        <x:v>0.76579044509952</x:v>
      </x:c>
      <x:c r="K71" s="20" t="n">
        <x:f>IF($C$10&gt;0,K43/$C$10,0)</x:f>
        <x:v>0.7811062540015103</x:v>
      </x:c>
      <x:c r="L71" s="20" t="n">
        <x:f>IF($C$10&gt;0,L43/$C$10,0)</x:f>
        <x:v>0.7967283790815406</x:v>
      </x:c>
      <x:c r="M71" s="20" t="n">
        <x:f>IF($C$10&gt;0,M43/$C$10,0)</x:f>
        <x:v>0.8126629466631715</x:v>
      </x:c>
      <x:c r="N71" s="20" t="n">
        <x:f>IF($C$10&gt;0,N43/$C$10,0)</x:f>
        <x:v>0.8289162055964348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5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1c3b42b485804f5a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Salon, Spa &amp; Beauty Studio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780</x:v>
      </x:c>
      <x:c r="D6" s="10" t="str">
        <x:v>completed appointments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975000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1250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249600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320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930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465000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725400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1100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260400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0.744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500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1800000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625000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400000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0.7090909090909091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900000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3300000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2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2500000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30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15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780000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800000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560352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95352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975000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3600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13076787.484924084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4056132.9441231648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4507327.057233687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1008066.6666666666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780</x:v>
      </x:c>
      <x:c r="D43" s="4" t="n">
        <x:f>MIN($C$10,$C$6*(1+$C$11)^1)</x:f>
        <x:v>795.6</x:v>
      </x:c>
      <x:c r="E43" s="4" t="n">
        <x:f>MIN($C$10,$C$6*(1+$C$11)^2)</x:f>
        <x:v>811.512</x:v>
      </x:c>
      <x:c r="F43" s="4" t="n">
        <x:f>MIN($C$10,$C$6*(1+$C$11)^3)</x:f>
        <x:v>827.7422399999999</x:v>
      </x:c>
      <x:c r="G43" s="4" t="n">
        <x:f>MIN($C$10,$C$6*(1+$C$11)^4)</x:f>
        <x:v>844.2970848</x:v>
      </x:c>
      <x:c r="H43" s="4" t="n">
        <x:f>MIN($C$10,$C$6*(1+$C$11)^5)</x:f>
        <x:v>861.183026496</x:v>
      </x:c>
      <x:c r="I43" s="4" t="n">
        <x:f>MIN($C$10,$C$6*(1+$C$11)^6)</x:f>
        <x:v>878.4066870259201</x:v>
      </x:c>
      <x:c r="J43" s="4" t="n">
        <x:f>MIN($C$10,$C$6*(1+$C$11)^7)</x:f>
        <x:v>895.9748207664383</x:v>
      </x:c>
      <x:c r="K43" s="4" t="n">
        <x:f>MIN($C$10,$C$6*(1+$C$11)^8)</x:f>
        <x:v>913.8943171817671</x:v>
      </x:c>
      <x:c r="L43" s="4" t="n">
        <x:f>MIN($C$10,$C$6*(1+$C$11)^9)</x:f>
        <x:v>932.1722035254024</x:v>
      </x:c>
      <x:c r="M43" s="4" t="n">
        <x:f>MIN($C$10,$C$6*(1+$C$11)^10)</x:f>
        <x:v>950.8156475959105</x:v>
      </x:c>
      <x:c r="N43" s="4" t="n">
        <x:f>MIN($C$10,$C$6*(1+$C$11)^11)</x:f>
        <x:v>969.8319605478285</x:v>
      </x:c>
    </x:row>
    <x:row r="44" ht="31" customHeight="1">
      <x:c r="A44" s="10" t="str">
        <x:v>Net unit price</x:v>
      </x:c>
      <x:c r="B44" s="4"/>
      <x:c r="C44" s="4" t="n">
        <x:f>$C$7*(1+$C$34)^0</x:f>
        <x:v>1250</x:v>
      </x:c>
      <x:c r="D44" s="4" t="n">
        <x:f>$C$7*(1+$C$34)^1</x:f>
        <x:v>1250</x:v>
      </x:c>
      <x:c r="E44" s="4" t="n">
        <x:f>$C$7*(1+$C$34)^2</x:f>
        <x:v>1250</x:v>
      </x:c>
      <x:c r="F44" s="4" t="n">
        <x:f>$C$7*(1+$C$34)^3</x:f>
        <x:v>1250</x:v>
      </x:c>
      <x:c r="G44" s="4" t="n">
        <x:f>$C$7*(1+$C$34)^4</x:f>
        <x:v>1250</x:v>
      </x:c>
      <x:c r="H44" s="4" t="n">
        <x:f>$C$7*(1+$C$34)^5</x:f>
        <x:v>1250</x:v>
      </x:c>
      <x:c r="I44" s="4" t="n">
        <x:f>$C$7*(1+$C$34)^6</x:f>
        <x:v>1250</x:v>
      </x:c>
      <x:c r="J44" s="4" t="n">
        <x:f>$C$7*(1+$C$34)^7</x:f>
        <x:v>1250</x:v>
      </x:c>
      <x:c r="K44" s="4" t="n">
        <x:f>$C$7*(1+$C$34)^8</x:f>
        <x:v>1250</x:v>
      </x:c>
      <x:c r="L44" s="4" t="n">
        <x:f>$C$7*(1+$C$34)^9</x:f>
        <x:v>1250</x:v>
      </x:c>
      <x:c r="M44" s="4" t="n">
        <x:f>$C$7*(1+$C$34)^10</x:f>
        <x:v>1250</x:v>
      </x:c>
      <x:c r="N44" s="4" t="n">
        <x:f>$C$7*(1+$C$34)^11</x:f>
        <x:v>1250</x:v>
      </x:c>
    </x:row>
    <x:row r="45" ht="31" customHeight="1">
      <x:c r="A45" s="23" t="str">
        <x:v>Net revenue</x:v>
      </x:c>
      <x:c r="B45" s="22"/>
      <x:c r="C45" s="22" t="n">
        <x:f>C43*C44</x:f>
        <x:v>975000</x:v>
      </x:c>
      <x:c r="D45" s="22" t="n">
        <x:f>D43*D44</x:f>
        <x:v>994500</x:v>
      </x:c>
      <x:c r="E45" s="22" t="n">
        <x:f>E43*E44</x:f>
        <x:v>1014389.9999999999</x:v>
      </x:c>
      <x:c r="F45" s="22" t="n">
        <x:f>F43*F44</x:f>
        <x:v>1034677.7999999999</x:v>
      </x:c>
      <x:c r="G45" s="22" t="n">
        <x:f>G43*G44</x:f>
        <x:v>1055371.356</x:v>
      </x:c>
      <x:c r="H45" s="22" t="n">
        <x:f>H43*H44</x:f>
        <x:v>1076478.78312</x:v>
      </x:c>
      <x:c r="I45" s="22" t="n">
        <x:f>I43*I44</x:f>
        <x:v>1098008.3587824001</x:v>
      </x:c>
      <x:c r="J45" s="22" t="n">
        <x:f>J43*J44</x:f>
        <x:v>1119968.5259580477</x:v>
      </x:c>
      <x:c r="K45" s="22" t="n">
        <x:f>K43*K44</x:f>
        <x:v>1142367.896477209</x:v>
      </x:c>
      <x:c r="L45" s="22" t="n">
        <x:f>L43*L44</x:f>
        <x:v>1165215.254406753</x:v>
      </x:c>
      <x:c r="M45" s="22" t="n">
        <x:f>M43*M44</x:f>
        <x:v>1188519.5594948882</x:v>
      </x:c>
      <x:c r="N45" s="22" t="n">
        <x:f>N43*N44</x:f>
        <x:v>1212289.9506847856</x:v>
      </x:c>
    </x:row>
    <x:row r="46" ht="31" customHeight="1">
      <x:c r="A46" s="10" t="str">
        <x:v>Variable cost per unit</x:v>
      </x:c>
      <x:c r="B46" s="4"/>
      <x:c r="C46" s="4" t="n">
        <x:f>$C$8</x:f>
        <x:v>320</x:v>
      </x:c>
      <x:c r="D46" s="4" t="n">
        <x:f>$C$8</x:f>
        <x:v>320</x:v>
      </x:c>
      <x:c r="E46" s="4" t="n">
        <x:f>$C$8</x:f>
        <x:v>320</x:v>
      </x:c>
      <x:c r="F46" s="4" t="n">
        <x:f>$C$8</x:f>
        <x:v>320</x:v>
      </x:c>
      <x:c r="G46" s="4" t="n">
        <x:f>$C$8</x:f>
        <x:v>320</x:v>
      </x:c>
      <x:c r="H46" s="4" t="n">
        <x:f>$C$8</x:f>
        <x:v>320</x:v>
      </x:c>
      <x:c r="I46" s="4" t="n">
        <x:f>$C$8</x:f>
        <x:v>320</x:v>
      </x:c>
      <x:c r="J46" s="4" t="n">
        <x:f>$C$8</x:f>
        <x:v>320</x:v>
      </x:c>
      <x:c r="K46" s="4" t="n">
        <x:f>$C$8</x:f>
        <x:v>320</x:v>
      </x:c>
      <x:c r="L46" s="4" t="n">
        <x:f>$C$8</x:f>
        <x:v>320</x:v>
      </x:c>
      <x:c r="M46" s="4" t="n">
        <x:f>$C$8</x:f>
        <x:v>320</x:v>
      </x:c>
      <x:c r="N46" s="4" t="n">
        <x:f>$C$8</x:f>
        <x:v>320</x:v>
      </x:c>
    </x:row>
    <x:row r="47" ht="31" customHeight="1">
      <x:c r="A47" s="10" t="str">
        <x:v>Variable cash cost</x:v>
      </x:c>
      <x:c r="B47" s="4"/>
      <x:c r="C47" s="4" t="n">
        <x:f>C43*C46</x:f>
        <x:v>249600</x:v>
      </x:c>
      <x:c r="D47" s="4" t="n">
        <x:f>D43*D46</x:f>
        <x:v>254592</x:v>
      </x:c>
      <x:c r="E47" s="4" t="n">
        <x:f>E43*E46</x:f>
        <x:v>259683.83999999997</x:v>
      </x:c>
      <x:c r="F47" s="4" t="n">
        <x:f>F43*F46</x:f>
        <x:v>264877.5168</x:v>
      </x:c>
      <x:c r="G47" s="4" t="n">
        <x:f>G43*G46</x:f>
        <x:v>270175.067136</x:v>
      </x:c>
      <x:c r="H47" s="4" t="n">
        <x:f>H43*H46</x:f>
        <x:v>275578.56847872003</x:v>
      </x:c>
      <x:c r="I47" s="4" t="n">
        <x:f>I43*I46</x:f>
        <x:v>281090.13984829444</x:v>
      </x:c>
      <x:c r="J47" s="4" t="n">
        <x:f>J43*J46</x:f>
        <x:v>286711.94264526025</x:v>
      </x:c>
      <x:c r="K47" s="4" t="n">
        <x:f>K43*K46</x:f>
        <x:v>292446.1814981655</x:v>
      </x:c>
      <x:c r="L47" s="4" t="n">
        <x:f>L43*L46</x:f>
        <x:v>298295.1051281288</x:v>
      </x:c>
      <x:c r="M47" s="4" t="n">
        <x:f>M43*M46</x:f>
        <x:v>304261.0072306914</x:v>
      </x:c>
      <x:c r="N47" s="4" t="n">
        <x:f>N43*N46</x:f>
        <x:v>310346.22737530514</x:v>
      </x:c>
    </x:row>
    <x:row r="48" ht="31" customHeight="1">
      <x:c r="A48" s="10" t="str">
        <x:v>Contribution</x:v>
      </x:c>
      <x:c r="B48" s="4"/>
      <x:c r="C48" s="4" t="n">
        <x:f>C45-C47</x:f>
        <x:v>725400</x:v>
      </x:c>
      <x:c r="D48" s="4" t="n">
        <x:f>D45-D47</x:f>
        <x:v>739908</x:v>
      </x:c>
      <x:c r="E48" s="4" t="n">
        <x:f>E45-E47</x:f>
        <x:v>754706.1599999999</x:v>
      </x:c>
      <x:c r="F48" s="4" t="n">
        <x:f>F45-F47</x:f>
        <x:v>769800.2832</x:v>
      </x:c>
      <x:c r="G48" s="4" t="n">
        <x:f>G45-G47</x:f>
        <x:v>785196.2888639999</x:v>
      </x:c>
      <x:c r="H48" s="4" t="n">
        <x:f>H45-H47</x:f>
        <x:v>800900.21464128</x:v>
      </x:c>
      <x:c r="I48" s="4" t="n">
        <x:f>I45-I47</x:f>
        <x:v>816918.2189341057</x:v>
      </x:c>
      <x:c r="J48" s="4" t="n">
        <x:f>J45-J47</x:f>
        <x:v>833256.5833127875</x:v>
      </x:c>
      <x:c r="K48" s="4" t="n">
        <x:f>K45-K47</x:f>
        <x:v>849921.7149790435</x:v>
      </x:c>
      <x:c r="L48" s="4" t="n">
        <x:f>L45-L47</x:f>
        <x:v>866920.1492786242</x:v>
      </x:c>
      <x:c r="M48" s="4" t="n">
        <x:f>M45-M47</x:f>
        <x:v>884258.5522641968</x:v>
      </x:c>
      <x:c r="N48" s="4" t="n">
        <x:f>N45-N47</x:f>
        <x:v>901943.7233094805</x:v>
      </x:c>
    </x:row>
    <x:row r="49" ht="31" customHeight="1">
      <x:c r="A49" s="10" t="str">
        <x:v>Fixed cash costs</x:v>
      </x:c>
      <x:c r="B49" s="4"/>
      <x:c r="C49" s="4" t="n">
        <x:f>$C$9*(1+$C$12)^0</x:f>
        <x:v>465000</x:v>
      </x:c>
      <x:c r="D49" s="4" t="n">
        <x:f>$C$9*(1+$C$12)^1</x:f>
        <x:v>466394.99999999994</x:v>
      </x:c>
      <x:c r="E49" s="4" t="n">
        <x:f>$C$9*(1+$C$12)^2</x:f>
        <x:v>467794.1849999999</x:v>
      </x:c>
      <x:c r="F49" s="4" t="n">
        <x:f>$C$9*(1+$C$12)^3</x:f>
        <x:v>469197.56755499984</x:v>
      </x:c>
      <x:c r="G49" s="4" t="n">
        <x:f>$C$9*(1+$C$12)^4</x:f>
        <x:v>470605.16025766474</x:v>
      </x:c>
      <x:c r="H49" s="4" t="n">
        <x:f>$C$9*(1+$C$12)^5</x:f>
        <x:v>472016.97573843773</x:v>
      </x:c>
      <x:c r="I49" s="4" t="n">
        <x:f>$C$9*(1+$C$12)^6</x:f>
        <x:v>473433.0266656529</x:v>
      </x:c>
      <x:c r="J49" s="4" t="n">
        <x:f>$C$9*(1+$C$12)^7</x:f>
        <x:v>474853.32574564987</x:v>
      </x:c>
      <x:c r="K49" s="4" t="n">
        <x:f>$C$9*(1+$C$12)^8</x:f>
        <x:v>476277.8857228867</x:v>
      </x:c>
      <x:c r="L49" s="4" t="n">
        <x:f>$C$9*(1+$C$12)^9</x:f>
        <x:v>477706.7193800553</x:v>
      </x:c>
      <x:c r="M49" s="4" t="n">
        <x:f>$C$9*(1+$C$12)^10</x:f>
        <x:v>479139.8395381954</x:v>
      </x:c>
      <x:c r="N49" s="4" t="n">
        <x:f>$C$9*(1+$C$12)^11</x:f>
        <x:v>480577.25905681</x:v>
      </x:c>
    </x:row>
    <x:row r="50" ht="31" customHeight="1">
      <x:c r="A50" s="23" t="str">
        <x:v>Operating cash profit (EBITDA)</x:v>
      </x:c>
      <x:c r="B50" s="22"/>
      <x:c r="C50" s="22" t="n">
        <x:f>C48-C49</x:f>
        <x:v>260400</x:v>
      </x:c>
      <x:c r="D50" s="22" t="n">
        <x:f>D48-D49</x:f>
        <x:v>273513.00000000006</x:v>
      </x:c>
      <x:c r="E50" s="22" t="n">
        <x:f>E48-E49</x:f>
        <x:v>286911.97500000003</x:v>
      </x:c>
      <x:c r="F50" s="22" t="n">
        <x:f>F48-F49</x:f>
        <x:v>300602.7156450001</x:v>
      </x:c>
      <x:c r="G50" s="22" t="n">
        <x:f>G48-G49</x:f>
        <x:v>314591.12860633514</x:v>
      </x:c>
      <x:c r="H50" s="22" t="n">
        <x:f>H48-H49</x:f>
        <x:v>328883.2389028423</x:v>
      </x:c>
      <x:c r="I50" s="22" t="n">
        <x:f>I48-I49</x:f>
        <x:v>343485.1922684528</x:v>
      </x:c>
      <x:c r="J50" s="22" t="n">
        <x:f>J48-J49</x:f>
        <x:v>358403.2575671376</x:v>
      </x:c>
      <x:c r="K50" s="22" t="n">
        <x:f>K48-K49</x:f>
        <x:v>373643.82925615675</x:v>
      </x:c>
      <x:c r="L50" s="22" t="n">
        <x:f>L48-L49</x:f>
        <x:v>389213.4298985689</x:v>
      </x:c>
      <x:c r="M50" s="22" t="n">
        <x:f>M48-M49</x:f>
        <x:v>405118.7127260014</x:v>
      </x:c>
      <x:c r="N50" s="22" t="n">
        <x:f>N48-N49</x:f>
        <x:v>421366.46425267047</x:v>
      </x:c>
    </x:row>
    <x:row r="51" ht="31" customHeight="1">
      <x:c r="A51" s="10" t="str">
        <x:v>Planning depreciation</x:v>
      </x:c>
      <x:c r="B51" s="4"/>
      <x:c r="C51" s="4" t="n">
        <x:f>$C$13/$C$33/$C$30</x:f>
        <x:v>30000</x:v>
      </x:c>
      <x:c r="D51" s="4" t="n">
        <x:f>$C$13/$C$33/$C$30</x:f>
        <x:v>30000</x:v>
      </x:c>
      <x:c r="E51" s="4" t="n">
        <x:f>$C$13/$C$33/$C$30</x:f>
        <x:v>30000</x:v>
      </x:c>
      <x:c r="F51" s="4" t="n">
        <x:f>$C$13/$C$33/$C$30</x:f>
        <x:v>30000</x:v>
      </x:c>
      <x:c r="G51" s="4" t="n">
        <x:f>$C$13/$C$33/$C$30</x:f>
        <x:v>30000</x:v>
      </x:c>
      <x:c r="H51" s="4" t="n">
        <x:f>$C$13/$C$33/$C$30</x:f>
        <x:v>30000</x:v>
      </x:c>
      <x:c r="I51" s="4" t="n">
        <x:f>$C$13/$C$33/$C$30</x:f>
        <x:v>30000</x:v>
      </x:c>
      <x:c r="J51" s="4" t="n">
        <x:f>$C$13/$C$33/$C$30</x:f>
        <x:v>30000</x:v>
      </x:c>
      <x:c r="K51" s="4" t="n">
        <x:f>$C$13/$C$33/$C$30</x:f>
        <x:v>30000</x:v>
      </x:c>
      <x:c r="L51" s="4" t="n">
        <x:f>$C$13/$C$33/$C$30</x:f>
        <x:v>30000</x:v>
      </x:c>
      <x:c r="M51" s="4" t="n">
        <x:f>$C$13/$C$33/$C$30</x:f>
        <x:v>30000</x:v>
      </x:c>
      <x:c r="N51" s="4" t="n">
        <x:f>$C$13/$C$33/$C$30</x:f>
        <x:v>30000</x:v>
      </x:c>
    </x:row>
    <x:row r="52" ht="31" customHeight="1">
      <x:c r="A52" s="10" t="str">
        <x:v>Operating profit (EBIT)</x:v>
      </x:c>
      <x:c r="B52" s="4"/>
      <x:c r="C52" s="4" t="n">
        <x:f>C50-C51</x:f>
        <x:v>230400</x:v>
      </x:c>
      <x:c r="D52" s="4" t="n">
        <x:f>D50-D51</x:f>
        <x:v>243513.00000000006</x:v>
      </x:c>
      <x:c r="E52" s="4" t="n">
        <x:f>E50-E51</x:f>
        <x:v>256911.97500000003</x:v>
      </x:c>
      <x:c r="F52" s="4" t="n">
        <x:f>F50-F51</x:f>
        <x:v>270602.7156450001</x:v>
      </x:c>
      <x:c r="G52" s="4" t="n">
        <x:f>G50-G51</x:f>
        <x:v>284591.12860633514</x:v>
      </x:c>
      <x:c r="H52" s="4" t="n">
        <x:f>H50-H51</x:f>
        <x:v>298883.2389028423</x:v>
      </x:c>
      <x:c r="I52" s="4" t="n">
        <x:f>I50-I51</x:f>
        <x:v>313485.1922684528</x:v>
      </x:c>
      <x:c r="J52" s="4" t="n">
        <x:f>J50-J51</x:f>
        <x:v>328403.2575671376</x:v>
      </x:c>
      <x:c r="K52" s="4" t="n">
        <x:f>K50-K51</x:f>
        <x:v>343643.82925615675</x:v>
      </x:c>
      <x:c r="L52" s="4" t="n">
        <x:f>L50-L51</x:f>
        <x:v>359213.4298985689</x:v>
      </x:c>
      <x:c r="M52" s="4" t="n">
        <x:f>M50-M51</x:f>
        <x:v>375118.7127260014</x:v>
      </x:c>
      <x:c r="N52" s="4" t="n">
        <x:f>N50-N51</x:f>
        <x:v>391366.46425267047</x:v>
      </x:c>
    </x:row>
    <x:row r="53" ht="31" customHeight="1">
      <x:c r="A53" s="10" t="str">
        <x:v>Receivables</x:v>
      </x:c>
      <x:c r="B53" s="4"/>
      <x:c r="C53" s="4" t="n">
        <x:f>C45*$C$16/$C$29</x:f>
        <x:v>65000</x:v>
      </x:c>
      <x:c r="D53" s="4" t="n">
        <x:f>D45*$C$16/$C$29</x:f>
        <x:v>66300</x:v>
      </x:c>
      <x:c r="E53" s="4" t="n">
        <x:f>E45*$C$16/$C$29</x:f>
        <x:v>67625.99999999999</x:v>
      </x:c>
      <x:c r="F53" s="4" t="n">
        <x:f>F45*$C$16/$C$29</x:f>
        <x:v>68978.51999999999</x:v>
      </x:c>
      <x:c r="G53" s="4" t="n">
        <x:f>G45*$C$16/$C$29</x:f>
        <x:v>70358.0904</x:v>
      </x:c>
      <x:c r="H53" s="4" t="n">
        <x:f>H45*$C$16/$C$29</x:f>
        <x:v>71765.252208</x:v>
      </x:c>
      <x:c r="I53" s="4" t="n">
        <x:f>I45*$C$16/$C$29</x:f>
        <x:v>73200.55725216001</x:v>
      </x:c>
      <x:c r="J53" s="4" t="n">
        <x:f>J45*$C$16/$C$29</x:f>
        <x:v>74664.56839720318</x:v>
      </x:c>
      <x:c r="K53" s="4" t="n">
        <x:f>K45*$C$16/$C$29</x:f>
        <x:v>76157.85976514727</x:v>
      </x:c>
      <x:c r="L53" s="4" t="n">
        <x:f>L45*$C$16/$C$29</x:f>
        <x:v>77681.0169604502</x:v>
      </x:c>
      <x:c r="M53" s="4" t="n">
        <x:f>M45*$C$16/$C$29</x:f>
        <x:v>79234.63729965921</x:v>
      </x:c>
      <x:c r="N53" s="4" t="n">
        <x:f>N45*$C$16/$C$29</x:f>
        <x:v>80819.33004565237</x:v>
      </x:c>
    </x:row>
    <x:row r="54" ht="31" customHeight="1">
      <x:c r="A54" s="10" t="str">
        <x:v>Own inventory</x:v>
      </x:c>
      <x:c r="B54" s="4"/>
      <x:c r="C54" s="4" t="n">
        <x:f>C47*$C$31*$C$17/$C$29</x:f>
        <x:v>149760</x:v>
      </x:c>
      <x:c r="D54" s="4" t="n">
        <x:f>D47*$C$31*$C$17/$C$29</x:f>
        <x:v>152755.19999999998</x:v>
      </x:c>
      <x:c r="E54" s="4" t="n">
        <x:f>E47*$C$31*$C$17/$C$29</x:f>
        <x:v>155810.30399999997</x:v>
      </x:c>
      <x:c r="F54" s="4" t="n">
        <x:f>F47*$C$31*$C$17/$C$29</x:f>
        <x:v>158926.51007999998</x:v>
      </x:c>
      <x:c r="G54" s="4" t="n">
        <x:f>G47*$C$31*$C$17/$C$29</x:f>
        <x:v>162105.0402816</x:v>
      </x:c>
      <x:c r="H54" s="4" t="n">
        <x:f>H47*$C$31*$C$17/$C$29</x:f>
        <x:v>165347.141087232</x:v>
      </x:c>
      <x:c r="I54" s="4" t="n">
        <x:f>I47*$C$31*$C$17/$C$29</x:f>
        <x:v>168654.08390897667</x:v>
      </x:c>
      <x:c r="J54" s="4" t="n">
        <x:f>J47*$C$31*$C$17/$C$29</x:f>
        <x:v>172027.16558715614</x:v>
      </x:c>
      <x:c r="K54" s="4" t="n">
        <x:f>K47*$C$31*$C$17/$C$29</x:f>
        <x:v>175467.7088988993</x:v>
      </x:c>
      <x:c r="L54" s="4" t="n">
        <x:f>L47*$C$31*$C$17/$C$29</x:f>
        <x:v>178977.0630768773</x:v>
      </x:c>
      <x:c r="M54" s="4" t="n">
        <x:f>M47*$C$31*$C$17/$C$29</x:f>
        <x:v>182556.60433841482</x:v>
      </x:c>
      <x:c r="N54" s="4" t="n">
        <x:f>N47*$C$31*$C$17/$C$29</x:f>
        <x:v>186207.73642518307</x:v>
      </x:c>
    </x:row>
    <x:row r="55" ht="31" customHeight="1">
      <x:c r="A55" s="10" t="str">
        <x:v>Supplier payables</x:v>
      </x:c>
      <x:c r="B55" s="4"/>
      <x:c r="C55" s="4" t="n">
        <x:f>C47*$C$32*$C$18/$C$29</x:f>
        <x:v>87360</x:v>
      </x:c>
      <x:c r="D55" s="4" t="n">
        <x:f>D47*$C$32*$C$18/$C$29</x:f>
        <x:v>89107.2</x:v>
      </x:c>
      <x:c r="E55" s="4" t="n">
        <x:f>E47*$C$32*$C$18/$C$29</x:f>
        <x:v>90889.34399999998</x:v>
      </x:c>
      <x:c r="F55" s="4" t="n">
        <x:f>F47*$C$32*$C$18/$C$29</x:f>
        <x:v>92707.13087999998</x:v>
      </x:c>
      <x:c r="G55" s="4" t="n">
        <x:f>G47*$C$32*$C$18/$C$29</x:f>
        <x:v>94561.2734976</x:v>
      </x:c>
      <x:c r="H55" s="4" t="n">
        <x:f>H47*$C$32*$C$18/$C$29</x:f>
        <x:v>96452.498967552</x:v>
      </x:c>
      <x:c r="I55" s="4" t="n">
        <x:f>I47*$C$32*$C$18/$C$29</x:f>
        <x:v>98381.54894690304</x:v>
      </x:c>
      <x:c r="J55" s="4" t="n">
        <x:f>J47*$C$32*$C$18/$C$29</x:f>
        <x:v>100349.17992584108</x:v>
      </x:c>
      <x:c r="K55" s="4" t="n">
        <x:f>K47*$C$32*$C$18/$C$29</x:f>
        <x:v>102356.16352435791</x:v>
      </x:c>
      <x:c r="L55" s="4" t="n">
        <x:f>L47*$C$32*$C$18/$C$29</x:f>
        <x:v>104403.28679484507</x:v>
      </x:c>
      <x:c r="M55" s="4" t="n">
        <x:f>M47*$C$32*$C$18/$C$29</x:f>
        <x:v>106491.35253074198</x:v>
      </x:c>
      <x:c r="N55" s="4" t="n">
        <x:f>N47*$C$32*$C$18/$C$29</x:f>
        <x:v>108621.17958135679</x:v>
      </x:c>
    </x:row>
    <x:row r="56" ht="31" customHeight="1">
      <x:c r="A56" s="23" t="str">
        <x:v>Net working capital</x:v>
      </x:c>
      <x:c r="B56" s="22"/>
      <x:c r="C56" s="22" t="n">
        <x:f>C53+C54-C55</x:f>
        <x:v>127400</x:v>
      </x:c>
      <x:c r="D56" s="22" t="n">
        <x:f>D53+D54-D55</x:f>
        <x:v>129947.99999999999</x:v>
      </x:c>
      <x:c r="E56" s="22" t="n">
        <x:f>E53+E54-E55</x:f>
        <x:v>132546.95999999996</x:v>
      </x:c>
      <x:c r="F56" s="22" t="n">
        <x:f>F53+F54-F55</x:f>
        <x:v>135197.89919999999</x:v>
      </x:c>
      <x:c r="G56" s="22" t="n">
        <x:f>G53+G54-G55</x:f>
        <x:v>137901.85718400002</x:v>
      </x:c>
      <x:c r="H56" s="22" t="n">
        <x:f>H53+H54-H55</x:f>
        <x:v>140659.89432768003</x:v>
      </x:c>
      <x:c r="I56" s="22" t="n">
        <x:f>I53+I54-I55</x:f>
        <x:v>143473.09221423365</x:v>
      </x:c>
      <x:c r="J56" s="22" t="n">
        <x:f>J53+J54-J55</x:f>
        <x:v>146342.55405851823</x:v>
      </x:c>
      <x:c r="K56" s="22" t="n">
        <x:f>K53+K54-K55</x:f>
        <x:v>149269.40513968864</x:v>
      </x:c>
      <x:c r="L56" s="22" t="n">
        <x:f>L53+L54-L55</x:f>
        <x:v>152254.7932424824</x:v>
      </x:c>
      <x:c r="M56" s="22" t="n">
        <x:f>M53+M54-M55</x:f>
        <x:v>155299.88910733207</x:v>
      </x:c>
      <x:c r="N56" s="22" t="n">
        <x:f>N53+N54-N55</x:f>
        <x:v>158405.8868894787</x:v>
      </x:c>
    </x:row>
    <x:row r="57" ht="31" customHeight="1">
      <x:c r="A57" s="10" t="str">
        <x:v>Increase in working capital</x:v>
      </x:c>
      <x:c r="B57" s="4"/>
      <x:c r="C57" s="4" t="n">
        <x:f>C56</x:f>
        <x:v>127400</x:v>
      </x:c>
      <x:c r="D57" s="4" t="n">
        <x:f>D56-C56</x:f>
        <x:v>2547.9999999999854</x:v>
      </x:c>
      <x:c r="E57" s="4" t="n">
        <x:f>E56-D56</x:f>
        <x:v>2598.9599999999773</x:v>
      </x:c>
      <x:c r="F57" s="4" t="n">
        <x:f>F56-E56</x:f>
        <x:v>2650.9392000000225</x:v>
      </x:c>
      <x:c r="G57" s="4" t="n">
        <x:f>G56-F56</x:f>
        <x:v>2703.957984000037</x:v>
      </x:c>
      <x:c r="H57" s="4" t="n">
        <x:f>H56-G56</x:f>
        <x:v>2758.037143680005</x:v>
      </x:c>
      <x:c r="I57" s="4" t="n">
        <x:f>I56-H56</x:f>
        <x:v>2813.197886553622</x:v>
      </x:c>
      <x:c r="J57" s="4" t="n">
        <x:f>J56-I56</x:f>
        <x:v>2869.461844284582</x:v>
      </x:c>
      <x:c r="K57" s="4" t="n">
        <x:f>K56-J56</x:f>
        <x:v>2926.8510811704036</x:v>
      </x:c>
      <x:c r="L57" s="4" t="n">
        <x:f>L56-K56</x:f>
        <x:v>2985.388102793775</x:v>
      </x:c>
      <x:c r="M57" s="4" t="n">
        <x:f>M56-L56</x:f>
        <x:v>3045.09586484966</x:v>
      </x:c>
      <x:c r="N57" s="4" t="n">
        <x:f>N56-M56</x:f>
        <x:v>3105.9977821466164</x:v>
      </x:c>
    </x:row>
    <x:row r="58" ht="31" customHeight="1">
      <x:c r="A58" s="10" t="str">
        <x:v>Opening debt</x:v>
      </x:c>
      <x:c r="B58" s="4"/>
      <x:c r="C58" s="4" t="n">
        <x:f>$C$19</x:f>
        <x:v>800000</x:v>
      </x:c>
      <x:c r="D58" s="4" t="n">
        <x:f>C61</x:f>
        <x:v>786666.6666666666</x:v>
      </x:c>
      <x:c r="E58" s="4" t="n">
        <x:f>D61</x:f>
        <x:v>773333.3333333333</x:v>
      </x:c>
      <x:c r="F58" s="4" t="n">
        <x:f>E61</x:f>
        <x:v>759999.9999999999</x:v>
      </x:c>
      <x:c r="G58" s="4" t="n">
        <x:f>F61</x:f>
        <x:v>746666.6666666665</x:v>
      </x:c>
      <x:c r="H58" s="4" t="n">
        <x:f>G61</x:f>
        <x:v>733333.3333333331</x:v>
      </x:c>
      <x:c r="I58" s="4" t="n">
        <x:f>H61</x:f>
        <x:v>719999.9999999998</x:v>
      </x:c>
      <x:c r="J58" s="4" t="n">
        <x:f>I61</x:f>
        <x:v>706666.6666666664</x:v>
      </x:c>
      <x:c r="K58" s="4" t="n">
        <x:f>J61</x:f>
        <x:v>693333.333333333</x:v>
      </x:c>
      <x:c r="L58" s="4" t="n">
        <x:f>K61</x:f>
        <x:v>679999.9999999997</x:v>
      </x:c>
      <x:c r="M58" s="4" t="n">
        <x:f>L61</x:f>
        <x:v>666666.6666666663</x:v>
      </x:c>
      <x:c r="N58" s="4" t="n">
        <x:f>M61</x:f>
        <x:v>653333.3333333329</x:v>
      </x:c>
    </x:row>
    <x:row r="59" ht="31" customHeight="1">
      <x:c r="A59" s="10" t="str">
        <x:v>Interest cash</x:v>
      </x:c>
      <x:c r="B59" s="4"/>
      <x:c r="C59" s="4" t="n">
        <x:f>C58*$C$20/$C$30</x:f>
        <x:v>8000</x:v>
      </x:c>
      <x:c r="D59" s="4" t="n">
        <x:f>D58*$C$20/$C$30</x:f>
        <x:v>7866.666666666665</x:v>
      </x:c>
      <x:c r="E59" s="4" t="n">
        <x:f>E58*$C$20/$C$30</x:f>
        <x:v>7733.333333333332</x:v>
      </x:c>
      <x:c r="F59" s="4" t="n">
        <x:f>F58*$C$20/$C$30</x:f>
        <x:v>7599.999999999999</x:v>
      </x:c>
      <x:c r="G59" s="4" t="n">
        <x:f>G58*$C$20/$C$30</x:f>
        <x:v>7466.666666666664</x:v>
      </x:c>
      <x:c r="H59" s="4" t="n">
        <x:f>H58*$C$20/$C$30</x:f>
        <x:v>7333.333333333331</x:v>
      </x:c>
      <x:c r="I59" s="4" t="n">
        <x:f>I58*$C$20/$C$30</x:f>
        <x:v>7199.999999999997</x:v>
      </x:c>
      <x:c r="J59" s="4" t="n">
        <x:f>J58*$C$20/$C$30</x:f>
        <x:v>7066.666666666664</x:v>
      </x:c>
      <x:c r="K59" s="4" t="n">
        <x:f>K58*$C$20/$C$30</x:f>
        <x:v>6933.333333333329</x:v>
      </x:c>
      <x:c r="L59" s="4" t="n">
        <x:f>L58*$C$20/$C$30</x:f>
        <x:v>6799.999999999996</x:v>
      </x:c>
      <x:c r="M59" s="4" t="n">
        <x:f>M58*$C$20/$C$30</x:f>
        <x:v>6666.666666666663</x:v>
      </x:c>
      <x:c r="N59" s="4" t="n">
        <x:f>N58*$C$20/$C$30</x:f>
        <x:v>6533.3333333333285</x:v>
      </x:c>
    </x:row>
    <x:row r="60" ht="31" customHeight="1">
      <x:c r="A60" s="10" t="str">
        <x:v>Principal repayment</x:v>
      </x:c>
      <x:c r="B60" s="4"/>
      <x:c r="C60" s="4" t="n">
        <x:f>MIN(C58,$C$19/$C$21)</x:f>
        <x:v>13333.333333333334</x:v>
      </x:c>
      <x:c r="D60" s="4" t="n">
        <x:f>MIN(D58,$C$19/$C$21)</x:f>
        <x:v>13333.333333333334</x:v>
      </x:c>
      <x:c r="E60" s="4" t="n">
        <x:f>MIN(E58,$C$19/$C$21)</x:f>
        <x:v>13333.333333333334</x:v>
      </x:c>
      <x:c r="F60" s="4" t="n">
        <x:f>MIN(F58,$C$19/$C$21)</x:f>
        <x:v>13333.333333333334</x:v>
      </x:c>
      <x:c r="G60" s="4" t="n">
        <x:f>MIN(G58,$C$19/$C$21)</x:f>
        <x:v>13333.333333333334</x:v>
      </x:c>
      <x:c r="H60" s="4" t="n">
        <x:f>MIN(H58,$C$19/$C$21)</x:f>
        <x:v>13333.333333333334</x:v>
      </x:c>
      <x:c r="I60" s="4" t="n">
        <x:f>MIN(I58,$C$19/$C$21)</x:f>
        <x:v>13333.333333333334</x:v>
      </x:c>
      <x:c r="J60" s="4" t="n">
        <x:f>MIN(J58,$C$19/$C$21)</x:f>
        <x:v>13333.333333333334</x:v>
      </x:c>
      <x:c r="K60" s="4" t="n">
        <x:f>MIN(K58,$C$19/$C$21)</x:f>
        <x:v>13333.333333333334</x:v>
      </x:c>
      <x:c r="L60" s="4" t="n">
        <x:f>MIN(L58,$C$19/$C$21)</x:f>
        <x:v>13333.333333333334</x:v>
      </x:c>
      <x:c r="M60" s="4" t="n">
        <x:f>MIN(M58,$C$19/$C$21)</x:f>
        <x:v>13333.333333333334</x:v>
      </x:c>
      <x:c r="N60" s="4" t="n">
        <x:f>MIN(N58,$C$19/$C$21)</x:f>
        <x:v>13333.333333333334</x:v>
      </x:c>
    </x:row>
    <x:row r="61" ht="31" customHeight="1">
      <x:c r="A61" s="10" t="str">
        <x:v>Closing debt</x:v>
      </x:c>
      <x:c r="B61" s="4"/>
      <x:c r="C61" s="4" t="n">
        <x:f>C58-C60</x:f>
        <x:v>786666.6666666666</x:v>
      </x:c>
      <x:c r="D61" s="4" t="n">
        <x:f>D58-D60</x:f>
        <x:v>773333.3333333333</x:v>
      </x:c>
      <x:c r="E61" s="4" t="n">
        <x:f>E58-E60</x:f>
        <x:v>759999.9999999999</x:v>
      </x:c>
      <x:c r="F61" s="4" t="n">
        <x:f>F58-F60</x:f>
        <x:v>746666.6666666665</x:v>
      </x:c>
      <x:c r="G61" s="4" t="n">
        <x:f>G58-G60</x:f>
        <x:v>733333.3333333331</x:v>
      </x:c>
      <x:c r="H61" s="4" t="n">
        <x:f>H58-H60</x:f>
        <x:v>719999.9999999998</x:v>
      </x:c>
      <x:c r="I61" s="4" t="n">
        <x:f>I58-I60</x:f>
        <x:v>706666.6666666664</x:v>
      </x:c>
      <x:c r="J61" s="4" t="n">
        <x:f>J58-J60</x:f>
        <x:v>693333.333333333</x:v>
      </x:c>
      <x:c r="K61" s="4" t="n">
        <x:f>K58-K60</x:f>
        <x:v>679999.9999999997</x:v>
      </x:c>
      <x:c r="L61" s="4" t="n">
        <x:f>L58-L60</x:f>
        <x:v>666666.6666666663</x:v>
      </x:c>
      <x:c r="M61" s="4" t="n">
        <x:f>M58-M60</x:f>
        <x:v>653333.3333333329</x:v>
      </x:c>
      <x:c r="N61" s="4" t="n">
        <x:f>N58-N60</x:f>
        <x:v>639999.9999999995</x:v>
      </x:c>
    </x:row>
    <x:row r="62" ht="31" customHeight="1">
      <x:c r="A62" s="10" t="str">
        <x:v>Maintenance capital spend</x:v>
      </x:c>
      <x:c r="B62" s="4"/>
      <x:c r="C62" s="4" t="n">
        <x:f>$C$22</x:f>
        <x:v>3600</x:v>
      </x:c>
      <x:c r="D62" s="4" t="n">
        <x:f>$C$22</x:f>
        <x:v>3600</x:v>
      </x:c>
      <x:c r="E62" s="4" t="n">
        <x:f>$C$22</x:f>
        <x:v>3600</x:v>
      </x:c>
      <x:c r="F62" s="4" t="n">
        <x:f>$C$22</x:f>
        <x:v>3600</x:v>
      </x:c>
      <x:c r="G62" s="4" t="n">
        <x:f>$C$22</x:f>
        <x:v>3600</x:v>
      </x:c>
      <x:c r="H62" s="4" t="n">
        <x:f>$C$22</x:f>
        <x:v>3600</x:v>
      </x:c>
      <x:c r="I62" s="4" t="n">
        <x:f>$C$22</x:f>
        <x:v>3600</x:v>
      </x:c>
      <x:c r="J62" s="4" t="n">
        <x:f>$C$22</x:f>
        <x:v>3600</x:v>
      </x:c>
      <x:c r="K62" s="4" t="n">
        <x:f>$C$22</x:f>
        <x:v>3600</x:v>
      </x:c>
      <x:c r="L62" s="4" t="n">
        <x:f>$C$22</x:f>
        <x:v>3600</x:v>
      </x:c>
      <x:c r="M62" s="4" t="n">
        <x:f>$C$22</x:f>
        <x:v>3600</x:v>
      </x:c>
      <x:c r="N62" s="4" t="n">
        <x:f>$C$22</x:f>
        <x:v>3600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108066.66666666666</x:v>
      </x:c>
      <x:c r="D66" s="22" t="n">
        <x:f>D50-D57-SUM(D59:D60)-SUM(D62:D65)</x:f>
        <x:v>246165.00000000006</x:v>
      </x:c>
      <x:c r="E66" s="22" t="n">
        <x:f>E50-E57-SUM(E59:E60)-SUM(E62:E65)</x:f>
        <x:v>259646.3483333334</x:v>
      </x:c>
      <x:c r="F66" s="22" t="n">
        <x:f>F50-F57-SUM(F59:F60)-SUM(F62:F65)</x:f>
        <x:v>273418.44311166677</x:v>
      </x:c>
      <x:c r="G66" s="22" t="n">
        <x:f>G50-G57-SUM(G59:G60)-SUM(G62:G65)</x:f>
        <x:v>287487.1706223351</x:v>
      </x:c>
      <x:c r="H66" s="22" t="n">
        <x:f>H50-H57-SUM(H59:H60)-SUM(H62:H65)</x:f>
        <x:v>301858.53509249556</x:v>
      </x:c>
      <x:c r="I66" s="22" t="n">
        <x:f>I50-I57-SUM(I59:I60)-SUM(I62:I65)</x:f>
        <x:v>316538.6610485658</x:v>
      </x:c>
      <x:c r="J66" s="22" t="n">
        <x:f>J50-J57-SUM(J59:J60)-SUM(J62:J65)</x:f>
        <x:v>331533.79572285304</x:v>
      </x:c>
      <x:c r="K66" s="22" t="n">
        <x:f>K50-K57-SUM(K59:K60)-SUM(K62:K65)</x:f>
        <x:v>346850.31150831963</x:v>
      </x:c>
      <x:c r="L66" s="22" t="n">
        <x:f>L50-L57-SUM(L59:L60)-SUM(L62:L65)</x:f>
        <x:v>362494.7084624418</x:v>
      </x:c>
      <x:c r="M66" s="22" t="n">
        <x:f>M50-M57-SUM(M59:M60)-SUM(M62:M65)</x:f>
        <x:v>378473.61686115176</x:v>
      </x:c>
      <x:c r="N66" s="22" t="n">
        <x:f>N50-N57-SUM(N59:N60)-SUM(N62:N65)</x:f>
        <x:v>394793.79980385717</x:v>
      </x:c>
    </x:row>
    <x:row r="67" ht="31" customHeight="1">
      <x:c r="A67" s="10" t="str">
        <x:v>Opening cash</x:v>
      </x:c>
      <x:c r="B67" s="4"/>
      <x:c r="C67" s="4" t="n">
        <x:f>$C$15</x:f>
        <x:v>900000</x:v>
      </x:c>
      <x:c r="D67" s="4" t="n">
        <x:f>C68</x:f>
        <x:v>1008066.6666666666</x:v>
      </x:c>
      <x:c r="E67" s="4" t="n">
        <x:f>D68</x:f>
        <x:v>1254231.6666666667</x:v>
      </x:c>
      <x:c r="F67" s="4" t="n">
        <x:f>E68</x:f>
        <x:v>1513878.0150000001</x:v>
      </x:c>
      <x:c r="G67" s="4" t="n">
        <x:f>F68</x:f>
        <x:v>1787296.4581116668</x:v>
      </x:c>
      <x:c r="H67" s="4" t="n">
        <x:f>G68</x:f>
        <x:v>2074783.628734002</x:v>
      </x:c>
      <x:c r="I67" s="4" t="n">
        <x:f>H68</x:f>
        <x:v>2376642.1638264973</x:v>
      </x:c>
      <x:c r="J67" s="4" t="n">
        <x:f>I68</x:f>
        <x:v>2693180.8248750633</x:v>
      </x:c>
      <x:c r="K67" s="4" t="n">
        <x:f>J68</x:f>
        <x:v>3024714.620597916</x:v>
      </x:c>
      <x:c r="L67" s="4" t="n">
        <x:f>K68</x:f>
        <x:v>3371564.932106236</x:v>
      </x:c>
      <x:c r="M67" s="4" t="n">
        <x:f>L68</x:f>
        <x:v>3734059.640568678</x:v>
      </x:c>
      <x:c r="N67" s="4" t="n">
        <x:f>M68</x:f>
        <x:v>4112533.25742983</x:v>
      </x:c>
    </x:row>
    <x:row r="68" ht="31" customHeight="1">
      <x:c r="A68" s="23" t="str">
        <x:v>Closing cash</x:v>
      </x:c>
      <x:c r="B68" s="22"/>
      <x:c r="C68" s="22" t="n">
        <x:f>C67+C66</x:f>
        <x:v>1008066.6666666666</x:v>
      </x:c>
      <x:c r="D68" s="22" t="n">
        <x:f>D67+D66</x:f>
        <x:v>1254231.6666666667</x:v>
      </x:c>
      <x:c r="E68" s="22" t="n">
        <x:f>E67+E66</x:f>
        <x:v>1513878.0150000001</x:v>
      </x:c>
      <x:c r="F68" s="22" t="n">
        <x:f>F67+F66</x:f>
        <x:v>1787296.4581116668</x:v>
      </x:c>
      <x:c r="G68" s="22" t="n">
        <x:f>G67+G66</x:f>
        <x:v>2074783.628734002</x:v>
      </x:c>
      <x:c r="H68" s="22" t="n">
        <x:f>H67+H66</x:f>
        <x:v>2376642.1638264973</x:v>
      </x:c>
      <x:c r="I68" s="22" t="n">
        <x:f>I67+I66</x:f>
        <x:v>2693180.8248750633</x:v>
      </x:c>
      <x:c r="J68" s="22" t="n">
        <x:f>J67+J66</x:f>
        <x:v>3024714.620597916</x:v>
      </x:c>
      <x:c r="K68" s="22" t="n">
        <x:f>K67+K66</x:f>
        <x:v>3371564.932106236</x:v>
      </x:c>
      <x:c r="L68" s="22" t="n">
        <x:f>L67+L66</x:f>
        <x:v>3734059.640568678</x:v>
      </x:c>
      <x:c r="M68" s="22" t="n">
        <x:f>M67+M66</x:f>
        <x:v>4112533.25742983</x:v>
      </x:c>
      <x:c r="N68" s="22" t="n">
        <x:f>N67+N66</x:f>
        <x:v>4507327.057233687</x:v>
      </x:c>
    </x:row>
    <x:row r="69" ht="31" customHeight="1">
      <x:c r="A69" s="10" t="str">
        <x:v>Cash-buffer shortfall</x:v>
      </x:c>
      <x:c r="B69" s="4"/>
      <x:c r="C69" s="4" t="n">
        <x:f>MAX(0,$C$15-C68)</x:f>
        <x:v>0</x:v>
      </x:c>
      <x:c r="D69" s="4" t="n">
        <x:f>MAX(0,$C$15-D68)</x:f>
        <x:v>0</x:v>
      </x:c>
      <x:c r="E69" s="4" t="n">
        <x:f>MAX(0,$C$15-E68)</x:f>
        <x:v>0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12.206249999999999</x:v>
      </x:c>
      <x:c r="D70" s="30" t="n">
        <x:f>IF(SUM(D59:D60)&gt;0,D50/SUM(D59:D60),"No debt")</x:f>
        <x:v>12.901556603773587</x:v>
      </x:c>
      <x:c r="E70" s="30" t="n">
        <x:f>IF(SUM(E59:E60)&gt;0,E50/SUM(E59:E60),"No debt")</x:f>
        <x:v>13.619239319620256</x:v>
      </x:c>
      <x:c r="F70" s="30" t="n">
        <x:f>IF(SUM(F59:F60)&gt;0,F50/SUM(F59:F60),"No debt")</x:f>
        <x:v>14.360002339729306</x:v>
      </x:c>
      <x:c r="G70" s="30" t="n">
        <x:f>IF(SUM(G59:G60)&gt;0,G50/SUM(G59:G60),"No debt")</x:f>
        <x:v>15.12457349068919</x:v>
      </x:c>
      <x:c r="H70" s="30" t="n">
        <x:f>IF(SUM(H59:H60)&gt;0,H50/SUM(H59:H60),"No debt")</x:f>
        <x:v>15.913705108202047</x:v>
      </x:c>
      <x:c r="I70" s="30" t="n">
        <x:f>IF(SUM(I59:I60)&gt;0,I50/SUM(I59:I60),"No debt")</x:f>
        <x:v>16.728174948138935</x:v>
      </x:c>
      <x:c r="J70" s="30" t="n">
        <x:f>IF(SUM(J59:J60)&gt;0,J50/SUM(J59:J60),"No debt")</x:f>
        <x:v>17.568787135644</x:v>
      </x:c>
      <x:c r="K70" s="30" t="n">
        <x:f>IF(SUM(K59:K60)&gt;0,K50/SUM(K59:K60),"No debt")</x:f>
        <x:v>18.436373154086684</x:v>
      </x:c>
      <x:c r="L70" s="30" t="n">
        <x:f>IF(SUM(L59:L60)&gt;0,L50/SUM(L59:L60),"No debt")</x:f>
        <x:v>19.331792875756737</x:v>
      </x:c>
      <x:c r="M70" s="30" t="n">
        <x:f>IF(SUM(M59:M60)&gt;0,M50/SUM(M59:M60),"No debt")</x:f>
        <x:v>20.255935636300073</x:v>
      </x:c>
      <x:c r="N70" s="30" t="n">
        <x:f>IF(SUM(N59:N60)&gt;0,N50/SUM(N59:N60),"No debt")</x:f>
        <x:v>21.209721355000195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0.7090909090909091</x:v>
      </x:c>
      <x:c r="D71" s="20" t="n">
        <x:f>IF($C$10&gt;0,D43/$C$10,0)</x:f>
        <x:v>0.7232727272727273</x:v>
      </x:c>
      <x:c r="E71" s="20" t="n">
        <x:f>IF($C$10&gt;0,E43/$C$10,0)</x:f>
        <x:v>0.7377381818181817</x:v>
      </x:c>
      <x:c r="F71" s="20" t="n">
        <x:f>IF($C$10&gt;0,F43/$C$10,0)</x:f>
        <x:v>0.7524929454545454</x:v>
      </x:c>
      <x:c r="G71" s="20" t="n">
        <x:f>IF($C$10&gt;0,G43/$C$10,0)</x:f>
        <x:v>0.7675428043636363</x:v>
      </x:c>
      <x:c r="H71" s="20" t="n">
        <x:f>IF($C$10&gt;0,H43/$C$10,0)</x:f>
        <x:v>0.7828936604509091</x:v>
      </x:c>
      <x:c r="I71" s="20" t="n">
        <x:f>IF($C$10&gt;0,I43/$C$10,0)</x:f>
        <x:v>0.7985515336599274</x:v>
      </x:c>
      <x:c r="J71" s="20" t="n">
        <x:f>IF($C$10&gt;0,J43/$C$10,0)</x:f>
        <x:v>0.8145225643331256</x:v>
      </x:c>
      <x:c r="K71" s="20" t="n">
        <x:f>IF($C$10&gt;0,K43/$C$10,0)</x:f>
        <x:v>0.8308130156197883</x:v>
      </x:c>
      <x:c r="L71" s="20" t="n">
        <x:f>IF($C$10&gt;0,L43/$C$10,0)</x:f>
        <x:v>0.8474292759321841</x:v>
      </x:c>
      <x:c r="M71" s="20" t="n">
        <x:f>IF($C$10&gt;0,M43/$C$10,0)</x:f>
        <x:v>0.8643778614508277</x:v>
      </x:c>
      <x:c r="N71" s="20" t="n">
        <x:f>IF($C$10&gt;0,N43/$C$10,0)</x:f>
        <x:v>0.8816654186798442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6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05d1df0159654432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Gym, Fitness &amp; Yoga Studio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500</x:v>
      </x:c>
      <x:c r="D6" s="10" t="str">
        <x:v>active member-months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975000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1950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142500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285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1665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650000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832500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850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182500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0.8538461538461538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390.3903903903904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4500000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761261.2612612613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650000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0.5882352941176471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1500000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6850000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2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4650000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7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10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780000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2200000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654600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4600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975000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9000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13076787.484924084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3235568.9695708314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3883486.517826829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1563133.3333333333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500</x:v>
      </x:c>
      <x:c r="D43" s="4" t="n">
        <x:f>MIN($C$10,$C$6*(1+$C$11)^1)</x:f>
        <x:v>510</x:v>
      </x:c>
      <x:c r="E43" s="4" t="n">
        <x:f>MIN($C$10,$C$6*(1+$C$11)^2)</x:f>
        <x:v>520.2</x:v>
      </x:c>
      <x:c r="F43" s="4" t="n">
        <x:f>MIN($C$10,$C$6*(1+$C$11)^3)</x:f>
        <x:v>530.6039999999999</x:v>
      </x:c>
      <x:c r="G43" s="4" t="n">
        <x:f>MIN($C$10,$C$6*(1+$C$11)^4)</x:f>
        <x:v>541.21608</x:v>
      </x:c>
      <x:c r="H43" s="4" t="n">
        <x:f>MIN($C$10,$C$6*(1+$C$11)^5)</x:f>
        <x:v>552.0404016</x:v>
      </x:c>
      <x:c r="I43" s="4" t="n">
        <x:f>MIN($C$10,$C$6*(1+$C$11)^6)</x:f>
        <x:v>563.0812096320001</x:v>
      </x:c>
      <x:c r="J43" s="4" t="n">
        <x:f>MIN($C$10,$C$6*(1+$C$11)^7)</x:f>
        <x:v>574.3428338246399</x:v>
      </x:c>
      <x:c r="K43" s="4" t="n">
        <x:f>MIN($C$10,$C$6*(1+$C$11)^8)</x:f>
        <x:v>585.8296905011327</x:v>
      </x:c>
      <x:c r="L43" s="4" t="n">
        <x:f>MIN($C$10,$C$6*(1+$C$11)^9)</x:f>
        <x:v>597.5462843111554</x:v>
      </x:c>
      <x:c r="M43" s="4" t="n">
        <x:f>MIN($C$10,$C$6*(1+$C$11)^10)</x:f>
        <x:v>609.4972099973786</x:v>
      </x:c>
      <x:c r="N43" s="4" t="n">
        <x:f>MIN($C$10,$C$6*(1+$C$11)^11)</x:f>
        <x:v>621.687154197326</x:v>
      </x:c>
    </x:row>
    <x:row r="44" ht="31" customHeight="1">
      <x:c r="A44" s="10" t="str">
        <x:v>Net unit price</x:v>
      </x:c>
      <x:c r="B44" s="4"/>
      <x:c r="C44" s="4" t="n">
        <x:f>$C$7*(1+$C$34)^0</x:f>
        <x:v>1950</x:v>
      </x:c>
      <x:c r="D44" s="4" t="n">
        <x:f>$C$7*(1+$C$34)^1</x:f>
        <x:v>1950</x:v>
      </x:c>
      <x:c r="E44" s="4" t="n">
        <x:f>$C$7*(1+$C$34)^2</x:f>
        <x:v>1950</x:v>
      </x:c>
      <x:c r="F44" s="4" t="n">
        <x:f>$C$7*(1+$C$34)^3</x:f>
        <x:v>1950</x:v>
      </x:c>
      <x:c r="G44" s="4" t="n">
        <x:f>$C$7*(1+$C$34)^4</x:f>
        <x:v>1950</x:v>
      </x:c>
      <x:c r="H44" s="4" t="n">
        <x:f>$C$7*(1+$C$34)^5</x:f>
        <x:v>1950</x:v>
      </x:c>
      <x:c r="I44" s="4" t="n">
        <x:f>$C$7*(1+$C$34)^6</x:f>
        <x:v>1950</x:v>
      </x:c>
      <x:c r="J44" s="4" t="n">
        <x:f>$C$7*(1+$C$34)^7</x:f>
        <x:v>1950</x:v>
      </x:c>
      <x:c r="K44" s="4" t="n">
        <x:f>$C$7*(1+$C$34)^8</x:f>
        <x:v>1950</x:v>
      </x:c>
      <x:c r="L44" s="4" t="n">
        <x:f>$C$7*(1+$C$34)^9</x:f>
        <x:v>1950</x:v>
      </x:c>
      <x:c r="M44" s="4" t="n">
        <x:f>$C$7*(1+$C$34)^10</x:f>
        <x:v>1950</x:v>
      </x:c>
      <x:c r="N44" s="4" t="n">
        <x:f>$C$7*(1+$C$34)^11</x:f>
        <x:v>1950</x:v>
      </x:c>
    </x:row>
    <x:row r="45" ht="31" customHeight="1">
      <x:c r="A45" s="23" t="str">
        <x:v>Net revenue</x:v>
      </x:c>
      <x:c r="B45" s="22"/>
      <x:c r="C45" s="22" t="n">
        <x:f>C43*C44</x:f>
        <x:v>975000</x:v>
      </x:c>
      <x:c r="D45" s="22" t="n">
        <x:f>D43*D44</x:f>
        <x:v>994500</x:v>
      </x:c>
      <x:c r="E45" s="22" t="n">
        <x:f>E43*E44</x:f>
        <x:v>1014390.0000000001</x:v>
      </x:c>
      <x:c r="F45" s="22" t="n">
        <x:f>F43*F44</x:f>
        <x:v>1034677.7999999998</x:v>
      </x:c>
      <x:c r="G45" s="22" t="n">
        <x:f>G43*G44</x:f>
        <x:v>1055371.3560000001</x:v>
      </x:c>
      <x:c r="H45" s="22" t="n">
        <x:f>H43*H44</x:f>
        <x:v>1076478.78312</x:v>
      </x:c>
      <x:c r="I45" s="22" t="n">
        <x:f>I43*I44</x:f>
        <x:v>1098008.3587824001</x:v>
      </x:c>
      <x:c r="J45" s="22" t="n">
        <x:f>J43*J44</x:f>
        <x:v>1119968.5259580477</x:v>
      </x:c>
      <x:c r="K45" s="22" t="n">
        <x:f>K43*K44</x:f>
        <x:v>1142367.896477209</x:v>
      </x:c>
      <x:c r="L45" s="22" t="n">
        <x:f>L43*L44</x:f>
        <x:v>1165215.254406753</x:v>
      </x:c>
      <x:c r="M45" s="22" t="n">
        <x:f>M43*M44</x:f>
        <x:v>1188519.5594948882</x:v>
      </x:c>
      <x:c r="N45" s="22" t="n">
        <x:f>N43*N44</x:f>
        <x:v>1212289.9506847856</x:v>
      </x:c>
    </x:row>
    <x:row r="46" ht="31" customHeight="1">
      <x:c r="A46" s="10" t="str">
        <x:v>Variable cost per unit</x:v>
      </x:c>
      <x:c r="B46" s="4"/>
      <x:c r="C46" s="4" t="n">
        <x:f>$C$8</x:f>
        <x:v>285</x:v>
      </x:c>
      <x:c r="D46" s="4" t="n">
        <x:f>$C$8</x:f>
        <x:v>285</x:v>
      </x:c>
      <x:c r="E46" s="4" t="n">
        <x:f>$C$8</x:f>
        <x:v>285</x:v>
      </x:c>
      <x:c r="F46" s="4" t="n">
        <x:f>$C$8</x:f>
        <x:v>285</x:v>
      </x:c>
      <x:c r="G46" s="4" t="n">
        <x:f>$C$8</x:f>
        <x:v>285</x:v>
      </x:c>
      <x:c r="H46" s="4" t="n">
        <x:f>$C$8</x:f>
        <x:v>285</x:v>
      </x:c>
      <x:c r="I46" s="4" t="n">
        <x:f>$C$8</x:f>
        <x:v>285</x:v>
      </x:c>
      <x:c r="J46" s="4" t="n">
        <x:f>$C$8</x:f>
        <x:v>285</x:v>
      </x:c>
      <x:c r="K46" s="4" t="n">
        <x:f>$C$8</x:f>
        <x:v>285</x:v>
      </x:c>
      <x:c r="L46" s="4" t="n">
        <x:f>$C$8</x:f>
        <x:v>285</x:v>
      </x:c>
      <x:c r="M46" s="4" t="n">
        <x:f>$C$8</x:f>
        <x:v>285</x:v>
      </x:c>
      <x:c r="N46" s="4" t="n">
        <x:f>$C$8</x:f>
        <x:v>285</x:v>
      </x:c>
    </x:row>
    <x:row r="47" ht="31" customHeight="1">
      <x:c r="A47" s="10" t="str">
        <x:v>Variable cash cost</x:v>
      </x:c>
      <x:c r="B47" s="4"/>
      <x:c r="C47" s="4" t="n">
        <x:f>C43*C46</x:f>
        <x:v>142500</x:v>
      </x:c>
      <x:c r="D47" s="4" t="n">
        <x:f>D43*D46</x:f>
        <x:v>145350</x:v>
      </x:c>
      <x:c r="E47" s="4" t="n">
        <x:f>E43*E46</x:f>
        <x:v>148257</x:v>
      </x:c>
      <x:c r="F47" s="4" t="n">
        <x:f>F43*F46</x:f>
        <x:v>151222.13999999998</x:v>
      </x:c>
      <x:c r="G47" s="4" t="n">
        <x:f>G43*G46</x:f>
        <x:v>154246.5828</x:v>
      </x:c>
      <x:c r="H47" s="4" t="n">
        <x:f>H43*H46</x:f>
        <x:v>157331.514456</x:v>
      </x:c>
      <x:c r="I47" s="4" t="n">
        <x:f>I43*I46</x:f>
        <x:v>160478.14474512002</x:v>
      </x:c>
      <x:c r="J47" s="4" t="n">
        <x:f>J43*J46</x:f>
        <x:v>163687.7076400224</x:v>
      </x:c>
      <x:c r="K47" s="4" t="n">
        <x:f>K43*K46</x:f>
        <x:v>166961.46179282284</x:v>
      </x:c>
      <x:c r="L47" s="4" t="n">
        <x:f>L43*L46</x:f>
        <x:v>170300.69102867928</x:v>
      </x:c>
      <x:c r="M47" s="4" t="n">
        <x:f>M43*M46</x:f>
        <x:v>173706.7048492529</x:v>
      </x:c>
      <x:c r="N47" s="4" t="n">
        <x:f>N43*N46</x:f>
        <x:v>177180.8389462379</x:v>
      </x:c>
    </x:row>
    <x:row r="48" ht="31" customHeight="1">
      <x:c r="A48" s="10" t="str">
        <x:v>Contribution</x:v>
      </x:c>
      <x:c r="B48" s="4"/>
      <x:c r="C48" s="4" t="n">
        <x:f>C45-C47</x:f>
        <x:v>832500</x:v>
      </x:c>
      <x:c r="D48" s="4" t="n">
        <x:f>D45-D47</x:f>
        <x:v>849150</x:v>
      </x:c>
      <x:c r="E48" s="4" t="n">
        <x:f>E45-E47</x:f>
        <x:v>866133.0000000001</x:v>
      </x:c>
      <x:c r="F48" s="4" t="n">
        <x:f>F45-F47</x:f>
        <x:v>883455.6599999998</x:v>
      </x:c>
      <x:c r="G48" s="4" t="n">
        <x:f>G45-G47</x:f>
        <x:v>901124.7732000002</x:v>
      </x:c>
      <x:c r="H48" s="4" t="n">
        <x:f>H45-H47</x:f>
        <x:v>919147.2686640001</x:v>
      </x:c>
      <x:c r="I48" s="4" t="n">
        <x:f>I45-I47</x:f>
        <x:v>937530.2140372801</x:v>
      </x:c>
      <x:c r="J48" s="4" t="n">
        <x:f>J45-J47</x:f>
        <x:v>956280.8183180253</x:v>
      </x:c>
      <x:c r="K48" s="4" t="n">
        <x:f>K45-K47</x:f>
        <x:v>975406.4346843861</x:v>
      </x:c>
      <x:c r="L48" s="4" t="n">
        <x:f>L45-L47</x:f>
        <x:v>994914.5633780737</x:v>
      </x:c>
      <x:c r="M48" s="4" t="n">
        <x:f>M45-M47</x:f>
        <x:v>1014812.8546456352</x:v>
      </x:c>
      <x:c r="N48" s="4" t="n">
        <x:f>N45-N47</x:f>
        <x:v>1035109.1117385477</x:v>
      </x:c>
    </x:row>
    <x:row r="49" ht="31" customHeight="1">
      <x:c r="A49" s="10" t="str">
        <x:v>Fixed cash costs</x:v>
      </x:c>
      <x:c r="B49" s="4"/>
      <x:c r="C49" s="4" t="n">
        <x:f>$C$9*(1+$C$12)^0</x:f>
        <x:v>650000</x:v>
      </x:c>
      <x:c r="D49" s="4" t="n">
        <x:f>$C$9*(1+$C$12)^1</x:f>
        <x:v>651949.9999999999</x:v>
      </x:c>
      <x:c r="E49" s="4" t="n">
        <x:f>$C$9*(1+$C$12)^2</x:f>
        <x:v>653905.8499999999</x:v>
      </x:c>
      <x:c r="F49" s="4" t="n">
        <x:f>$C$9*(1+$C$12)^3</x:f>
        <x:v>655867.5675499998</x:v>
      </x:c>
      <x:c r="G49" s="4" t="n">
        <x:f>$C$9*(1+$C$12)^4</x:f>
        <x:v>657835.1702526497</x:v>
      </x:c>
      <x:c r="H49" s="4" t="n">
        <x:f>$C$9*(1+$C$12)^5</x:f>
        <x:v>659808.6757634076</x:v>
      </x:c>
      <x:c r="I49" s="4" t="n">
        <x:f>$C$9*(1+$C$12)^6</x:f>
        <x:v>661788.1017906977</x:v>
      </x:c>
      <x:c r="J49" s="4" t="n">
        <x:f>$C$9*(1+$C$12)^7</x:f>
        <x:v>663773.4660960697</x:v>
      </x:c>
      <x:c r="K49" s="4" t="n">
        <x:f>$C$9*(1+$C$12)^8</x:f>
        <x:v>665764.7864943577</x:v>
      </x:c>
      <x:c r="L49" s="4" t="n">
        <x:f>$C$9*(1+$C$12)^9</x:f>
        <x:v>667762.0808538408</x:v>
      </x:c>
      <x:c r="M49" s="4" t="n">
        <x:f>$C$9*(1+$C$12)^10</x:f>
        <x:v>669765.3670964022</x:v>
      </x:c>
      <x:c r="N49" s="4" t="n">
        <x:f>$C$9*(1+$C$12)^11</x:f>
        <x:v>671774.6631976914</x:v>
      </x:c>
    </x:row>
    <x:row r="50" ht="31" customHeight="1">
      <x:c r="A50" s="23" t="str">
        <x:v>Operating cash profit (EBITDA)</x:v>
      </x:c>
      <x:c r="B50" s="22"/>
      <x:c r="C50" s="22" t="n">
        <x:f>C48-C49</x:f>
        <x:v>182500</x:v>
      </x:c>
      <x:c r="D50" s="22" t="n">
        <x:f>D48-D49</x:f>
        <x:v>197200.00000000012</x:v>
      </x:c>
      <x:c r="E50" s="22" t="n">
        <x:f>E48-E49</x:f>
        <x:v>212227.15000000026</x:v>
      </x:c>
      <x:c r="F50" s="22" t="n">
        <x:f>F48-F49</x:f>
        <x:v>227588.09245</x:v>
      </x:c>
      <x:c r="G50" s="22" t="n">
        <x:f>G48-G49</x:f>
        <x:v>243289.60294735048</x:v>
      </x:c>
      <x:c r="H50" s="22" t="n">
        <x:f>H48-H49</x:f>
        <x:v>259338.59290059248</x:v>
      </x:c>
      <x:c r="I50" s="22" t="n">
        <x:f>I48-I49</x:f>
        <x:v>275742.1122465824</x:v>
      </x:c>
      <x:c r="J50" s="22" t="n">
        <x:f>J48-J49</x:f>
        <x:v>292507.35222195566</x:v>
      </x:c>
      <x:c r="K50" s="22" t="n">
        <x:f>K48-K49</x:f>
        <x:v>309641.6481900284</x:v>
      </x:c>
      <x:c r="L50" s="22" t="n">
        <x:f>L48-L49</x:f>
        <x:v>327152.48252423294</x:v>
      </x:c>
      <x:c r="M50" s="22" t="n">
        <x:f>M48-M49</x:f>
        <x:v>345047.487549233</x:v>
      </x:c>
      <x:c r="N50" s="22" t="n">
        <x:f>N48-N49</x:f>
        <x:v>363334.44854085625</x:v>
      </x:c>
    </x:row>
    <x:row r="51" ht="31" customHeight="1">
      <x:c r="A51" s="10" t="str">
        <x:v>Planning depreciation</x:v>
      </x:c>
      <x:c r="B51" s="4"/>
      <x:c r="C51" s="4" t="n">
        <x:f>$C$13/$C$33/$C$30</x:f>
        <x:v>75000</x:v>
      </x:c>
      <x:c r="D51" s="4" t="n">
        <x:f>$C$13/$C$33/$C$30</x:f>
        <x:v>75000</x:v>
      </x:c>
      <x:c r="E51" s="4" t="n">
        <x:f>$C$13/$C$33/$C$30</x:f>
        <x:v>75000</x:v>
      </x:c>
      <x:c r="F51" s="4" t="n">
        <x:f>$C$13/$C$33/$C$30</x:f>
        <x:v>75000</x:v>
      </x:c>
      <x:c r="G51" s="4" t="n">
        <x:f>$C$13/$C$33/$C$30</x:f>
        <x:v>75000</x:v>
      </x:c>
      <x:c r="H51" s="4" t="n">
        <x:f>$C$13/$C$33/$C$30</x:f>
        <x:v>75000</x:v>
      </x:c>
      <x:c r="I51" s="4" t="n">
        <x:f>$C$13/$C$33/$C$30</x:f>
        <x:v>75000</x:v>
      </x:c>
      <x:c r="J51" s="4" t="n">
        <x:f>$C$13/$C$33/$C$30</x:f>
        <x:v>75000</x:v>
      </x:c>
      <x:c r="K51" s="4" t="n">
        <x:f>$C$13/$C$33/$C$30</x:f>
        <x:v>75000</x:v>
      </x:c>
      <x:c r="L51" s="4" t="n">
        <x:f>$C$13/$C$33/$C$30</x:f>
        <x:v>75000</x:v>
      </x:c>
      <x:c r="M51" s="4" t="n">
        <x:f>$C$13/$C$33/$C$30</x:f>
        <x:v>75000</x:v>
      </x:c>
      <x:c r="N51" s="4" t="n">
        <x:f>$C$13/$C$33/$C$30</x:f>
        <x:v>75000</x:v>
      </x:c>
    </x:row>
    <x:row r="52" ht="31" customHeight="1">
      <x:c r="A52" s="10" t="str">
        <x:v>Operating profit (EBIT)</x:v>
      </x:c>
      <x:c r="B52" s="4"/>
      <x:c r="C52" s="4" t="n">
        <x:f>C50-C51</x:f>
        <x:v>107500</x:v>
      </x:c>
      <x:c r="D52" s="4" t="n">
        <x:f>D50-D51</x:f>
        <x:v>122200.00000000012</x:v>
      </x:c>
      <x:c r="E52" s="4" t="n">
        <x:f>E50-E51</x:f>
        <x:v>137227.15000000026</x:v>
      </x:c>
      <x:c r="F52" s="4" t="n">
        <x:f>F50-F51</x:f>
        <x:v>152588.09245</x:v>
      </x:c>
      <x:c r="G52" s="4" t="n">
        <x:f>G50-G51</x:f>
        <x:v>168289.60294735048</x:v>
      </x:c>
      <x:c r="H52" s="4" t="n">
        <x:f>H50-H51</x:f>
        <x:v>184338.59290059248</x:v>
      </x:c>
      <x:c r="I52" s="4" t="n">
        <x:f>I50-I51</x:f>
        <x:v>200742.1122465824</x:v>
      </x:c>
      <x:c r="J52" s="4" t="n">
        <x:f>J50-J51</x:f>
        <x:v>217507.35222195566</x:v>
      </x:c>
      <x:c r="K52" s="4" t="n">
        <x:f>K50-K51</x:f>
        <x:v>234641.64819002838</x:v>
      </x:c>
      <x:c r="L52" s="4" t="n">
        <x:f>L50-L51</x:f>
        <x:v>252152.48252423294</x:v>
      </x:c>
      <x:c r="M52" s="4" t="n">
        <x:f>M50-M51</x:f>
        <x:v>270047.487549233</x:v>
      </x:c>
      <x:c r="N52" s="4" t="n">
        <x:f>N50-N51</x:f>
        <x:v>288334.44854085625</x:v>
      </x:c>
    </x:row>
    <x:row r="53" ht="31" customHeight="1">
      <x:c r="A53" s="10" t="str">
        <x:v>Receivables</x:v>
      </x:c>
      <x:c r="B53" s="4"/>
      <x:c r="C53" s="4" t="n">
        <x:f>C45*$C$16/$C$29</x:f>
        <x:v>65000</x:v>
      </x:c>
      <x:c r="D53" s="4" t="n">
        <x:f>D45*$C$16/$C$29</x:f>
        <x:v>66300</x:v>
      </x:c>
      <x:c r="E53" s="4" t="n">
        <x:f>E45*$C$16/$C$29</x:f>
        <x:v>67626.00000000001</x:v>
      </x:c>
      <x:c r="F53" s="4" t="n">
        <x:f>F45*$C$16/$C$29</x:f>
        <x:v>68978.51999999999</x:v>
      </x:c>
      <x:c r="G53" s="4" t="n">
        <x:f>G45*$C$16/$C$29</x:f>
        <x:v>70358.09040000002</x:v>
      </x:c>
      <x:c r="H53" s="4" t="n">
        <x:f>H45*$C$16/$C$29</x:f>
        <x:v>71765.252208</x:v>
      </x:c>
      <x:c r="I53" s="4" t="n">
        <x:f>I45*$C$16/$C$29</x:f>
        <x:v>73200.55725216001</x:v>
      </x:c>
      <x:c r="J53" s="4" t="n">
        <x:f>J45*$C$16/$C$29</x:f>
        <x:v>74664.56839720318</x:v>
      </x:c>
      <x:c r="K53" s="4" t="n">
        <x:f>K45*$C$16/$C$29</x:f>
        <x:v>76157.85976514727</x:v>
      </x:c>
      <x:c r="L53" s="4" t="n">
        <x:f>L45*$C$16/$C$29</x:f>
        <x:v>77681.0169604502</x:v>
      </x:c>
      <x:c r="M53" s="4" t="n">
        <x:f>M45*$C$16/$C$29</x:f>
        <x:v>79234.63729965921</x:v>
      </x:c>
      <x:c r="N53" s="4" t="n">
        <x:f>N45*$C$16/$C$29</x:f>
        <x:v>80819.33004565237</x:v>
      </x:c>
    </x:row>
    <x:row r="54" ht="31" customHeight="1">
      <x:c r="A54" s="10" t="str">
        <x:v>Own inventory</x:v>
      </x:c>
      <x:c r="B54" s="4"/>
      <x:c r="C54" s="4" t="n">
        <x:f>C47*$C$31*$C$17/$C$29</x:f>
        <x:v>19950</x:v>
      </x:c>
      <x:c r="D54" s="4" t="n">
        <x:f>D47*$C$31*$C$17/$C$29</x:f>
        <x:v>20349</x:v>
      </x:c>
      <x:c r="E54" s="4" t="n">
        <x:f>E47*$C$31*$C$17/$C$29</x:f>
        <x:v>20755.98</x:v>
      </x:c>
      <x:c r="F54" s="4" t="n">
        <x:f>F47*$C$31*$C$17/$C$29</x:f>
        <x:v>21171.099599999998</x:v>
      </x:c>
      <x:c r="G54" s="4" t="n">
        <x:f>G47*$C$31*$C$17/$C$29</x:f>
        <x:v>21594.521592</x:v>
      </x:c>
      <x:c r="H54" s="4" t="n">
        <x:f>H47*$C$31*$C$17/$C$29</x:f>
        <x:v>22026.41202384</x:v>
      </x:c>
      <x:c r="I54" s="4" t="n">
        <x:f>I47*$C$31*$C$17/$C$29</x:f>
        <x:v>22466.9402643168</x:v>
      </x:c>
      <x:c r="J54" s="4" t="n">
        <x:f>J47*$C$31*$C$17/$C$29</x:f>
        <x:v>22916.279069603133</x:v>
      </x:c>
      <x:c r="K54" s="4" t="n">
        <x:f>K47*$C$31*$C$17/$C$29</x:f>
        <x:v>23374.604650995196</x:v>
      </x:c>
      <x:c r="L54" s="4" t="n">
        <x:f>L47*$C$31*$C$17/$C$29</x:f>
        <x:v>23842.0967440151</x:v>
      </x:c>
      <x:c r="M54" s="4" t="n">
        <x:f>M47*$C$31*$C$17/$C$29</x:f>
        <x:v>24318.938678895407</x:v>
      </x:c>
      <x:c r="N54" s="4" t="n">
        <x:f>N47*$C$31*$C$17/$C$29</x:f>
        <x:v>24805.317452473308</x:v>
      </x:c>
    </x:row>
    <x:row r="55" ht="31" customHeight="1">
      <x:c r="A55" s="10" t="str">
        <x:v>Supplier payables</x:v>
      </x:c>
      <x:c r="B55" s="4"/>
      <x:c r="C55" s="4" t="n">
        <x:f>C47*$C$32*$C$18/$C$29</x:f>
        <x:v>33250</x:v>
      </x:c>
      <x:c r="D55" s="4" t="n">
        <x:f>D47*$C$32*$C$18/$C$29</x:f>
        <x:v>33915</x:v>
      </x:c>
      <x:c r="E55" s="4" t="n">
        <x:f>E47*$C$32*$C$18/$C$29</x:f>
        <x:v>34593.3</x:v>
      </x:c>
      <x:c r="F55" s="4" t="n">
        <x:f>F47*$C$32*$C$18/$C$29</x:f>
        <x:v>35285.16599999999</x:v>
      </x:c>
      <x:c r="G55" s="4" t="n">
        <x:f>G47*$C$32*$C$18/$C$29</x:f>
        <x:v>35990.86931999999</x:v>
      </x:c>
      <x:c r="H55" s="4" t="n">
        <x:f>H47*$C$32*$C$18/$C$29</x:f>
        <x:v>36710.6867064</x:v>
      </x:c>
      <x:c r="I55" s="4" t="n">
        <x:f>I47*$C$32*$C$18/$C$29</x:f>
        <x:v>37444.90044052801</x:v>
      </x:c>
      <x:c r="J55" s="4" t="n">
        <x:f>J47*$C$32*$C$18/$C$29</x:f>
        <x:v>38193.79844933855</x:v>
      </x:c>
      <x:c r="K55" s="4" t="n">
        <x:f>K47*$C$32*$C$18/$C$29</x:f>
        <x:v>38957.674418325325</x:v>
      </x:c>
      <x:c r="L55" s="4" t="n">
        <x:f>L47*$C$32*$C$18/$C$29</x:f>
        <x:v>39736.827906691826</x:v>
      </x:c>
      <x:c r="M55" s="4" t="n">
        <x:f>M47*$C$32*$C$18/$C$29</x:f>
        <x:v>40531.56446482568</x:v>
      </x:c>
      <x:c r="N55" s="4" t="n">
        <x:f>N47*$C$32*$C$18/$C$29</x:f>
        <x:v>41342.19575412218</x:v>
      </x:c>
    </x:row>
    <x:row r="56" ht="31" customHeight="1">
      <x:c r="A56" s="23" t="str">
        <x:v>Net working capital</x:v>
      </x:c>
      <x:c r="B56" s="22"/>
      <x:c r="C56" s="22" t="n">
        <x:f>C53+C54-C55</x:f>
        <x:v>51700</x:v>
      </x:c>
      <x:c r="D56" s="22" t="n">
        <x:f>D53+D54-D55</x:f>
        <x:v>52734</x:v>
      </x:c>
      <x:c r="E56" s="22" t="n">
        <x:f>E53+E54-E55</x:f>
        <x:v>53788.68000000001</x:v>
      </x:c>
      <x:c r="F56" s="22" t="n">
        <x:f>F53+F54-F55</x:f>
        <x:v>54864.4536</x:v>
      </x:c>
      <x:c r="G56" s="22" t="n">
        <x:f>G53+G54-G55</x:f>
        <x:v>55961.74267200003</x:v>
      </x:c>
      <x:c r="H56" s="22" t="n">
        <x:f>H53+H54-H55</x:f>
        <x:v>57080.977525439994</x:v>
      </x:c>
      <x:c r="I56" s="22" t="n">
        <x:f>I53+I54-I55</x:f>
        <x:v>58222.597075948805</x:v>
      </x:c>
      <x:c r="J56" s="22" t="n">
        <x:f>J53+J54-J55</x:f>
        <x:v>59387.04901746776</x:v>
      </x:c>
      <x:c r="K56" s="22" t="n">
        <x:f>K53+K54-K55</x:f>
        <x:v>60574.78999781714</x:v>
      </x:c>
      <x:c r="L56" s="22" t="n">
        <x:f>L53+L54-L55</x:f>
        <x:v>61786.285797773475</x:v>
      </x:c>
      <x:c r="M56" s="22" t="n">
        <x:f>M53+M54-M55</x:f>
        <x:v>63022.01151372893</x:v>
      </x:c>
      <x:c r="N56" s="22" t="n">
        <x:f>N53+N54-N55</x:f>
        <x:v>64282.4517440035</x:v>
      </x:c>
    </x:row>
    <x:row r="57" ht="31" customHeight="1">
      <x:c r="A57" s="10" t="str">
        <x:v>Increase in working capital</x:v>
      </x:c>
      <x:c r="B57" s="4"/>
      <x:c r="C57" s="4" t="n">
        <x:f>C56</x:f>
        <x:v>51700</x:v>
      </x:c>
      <x:c r="D57" s="4" t="n">
        <x:f>D56-C56</x:f>
        <x:v>1034</x:v>
      </x:c>
      <x:c r="E57" s="4" t="n">
        <x:f>E56-D56</x:f>
        <x:v>1054.6800000000076</x:v>
      </x:c>
      <x:c r="F57" s="4" t="n">
        <x:f>F56-E56</x:f>
        <x:v>1075.7735999999932</x:v>
      </x:c>
      <x:c r="G57" s="4" t="n">
        <x:f>G56-F56</x:f>
        <x:v>1097.2890720000287</x:v>
      </x:c>
      <x:c r="H57" s="4" t="n">
        <x:f>H56-G56</x:f>
        <x:v>1119.2348534399644</x:v>
      </x:c>
      <x:c r="I57" s="4" t="n">
        <x:f>I56-H56</x:f>
        <x:v>1141.6195505088108</x:v>
      </x:c>
      <x:c r="J57" s="4" t="n">
        <x:f>J56-I56</x:f>
        <x:v>1164.451941518957</x:v>
      </x:c>
      <x:c r="K57" s="4" t="n">
        <x:f>K56-J56</x:f>
        <x:v>1187.7409803493792</x:v>
      </x:c>
      <x:c r="L57" s="4" t="n">
        <x:f>L56-K56</x:f>
        <x:v>1211.495799956334</x:v>
      </x:c>
      <x:c r="M57" s="4" t="n">
        <x:f>M56-L56</x:f>
        <x:v>1235.7257159554574</x:v>
      </x:c>
      <x:c r="N57" s="4" t="n">
        <x:f>N56-M56</x:f>
        <x:v>1260.4402302745657</x:v>
      </x:c>
    </x:row>
    <x:row r="58" ht="31" customHeight="1">
      <x:c r="A58" s="10" t="str">
        <x:v>Opening debt</x:v>
      </x:c>
      <x:c r="B58" s="4"/>
      <x:c r="C58" s="4" t="n">
        <x:f>$C$19</x:f>
        <x:v>2200000</x:v>
      </x:c>
      <x:c r="D58" s="4" t="n">
        <x:f>C61</x:f>
        <x:v>2163333.3333333335</x:v>
      </x:c>
      <x:c r="E58" s="4" t="n">
        <x:f>D61</x:f>
        <x:v>2126666.666666667</x:v>
      </x:c>
      <x:c r="F58" s="4" t="n">
        <x:f>E61</x:f>
        <x:v>2090000.0000000002</x:v>
      </x:c>
      <x:c r="G58" s="4" t="n">
        <x:f>F61</x:f>
        <x:v>2053333.3333333335</x:v>
      </x:c>
      <x:c r="H58" s="4" t="n">
        <x:f>G61</x:f>
        <x:v>2016666.6666666667</x:v>
      </x:c>
      <x:c r="I58" s="4" t="n">
        <x:f>H61</x:f>
        <x:v>1980000</x:v>
      </x:c>
      <x:c r="J58" s="4" t="n">
        <x:f>I61</x:f>
        <x:v>1943333.3333333333</x:v>
      </x:c>
      <x:c r="K58" s="4" t="n">
        <x:f>J61</x:f>
        <x:v>1906666.6666666665</x:v>
      </x:c>
      <x:c r="L58" s="4" t="n">
        <x:f>K61</x:f>
        <x:v>1869999.9999999998</x:v>
      </x:c>
      <x:c r="M58" s="4" t="n">
        <x:f>L61</x:f>
        <x:v>1833333.333333333</x:v>
      </x:c>
      <x:c r="N58" s="4" t="n">
        <x:f>M61</x:f>
        <x:v>1796666.6666666663</x:v>
      </x:c>
    </x:row>
    <x:row r="59" ht="31" customHeight="1">
      <x:c r="A59" s="10" t="str">
        <x:v>Interest cash</x:v>
      </x:c>
      <x:c r="B59" s="4"/>
      <x:c r="C59" s="4" t="n">
        <x:f>C58*$C$20/$C$30</x:f>
        <x:v>22000</x:v>
      </x:c>
      <x:c r="D59" s="4" t="n">
        <x:f>D58*$C$20/$C$30</x:f>
        <x:v>21633.333333333332</x:v>
      </x:c>
      <x:c r="E59" s="4" t="n">
        <x:f>E58*$C$20/$C$30</x:f>
        <x:v>21266.666666666668</x:v>
      </x:c>
      <x:c r="F59" s="4" t="n">
        <x:f>F58*$C$20/$C$30</x:f>
        <x:v>20900.000000000004</x:v>
      </x:c>
      <x:c r="G59" s="4" t="n">
        <x:f>G58*$C$20/$C$30</x:f>
        <x:v>20533.333333333332</x:v>
      </x:c>
      <x:c r="H59" s="4" t="n">
        <x:f>H58*$C$20/$C$30</x:f>
        <x:v>20166.666666666668</x:v>
      </x:c>
      <x:c r="I59" s="4" t="n">
        <x:f>I58*$C$20/$C$30</x:f>
        <x:v>19800</x:v>
      </x:c>
      <x:c r="J59" s="4" t="n">
        <x:f>J58*$C$20/$C$30</x:f>
        <x:v>19433.333333333332</x:v>
      </x:c>
      <x:c r="K59" s="4" t="n">
        <x:f>K58*$C$20/$C$30</x:f>
        <x:v>19066.666666666664</x:v>
      </x:c>
      <x:c r="L59" s="4" t="n">
        <x:f>L58*$C$20/$C$30</x:f>
        <x:v>18699.999999999996</x:v>
      </x:c>
      <x:c r="M59" s="4" t="n">
        <x:f>M58*$C$20/$C$30</x:f>
        <x:v>18333.33333333333</x:v>
      </x:c>
      <x:c r="N59" s="4" t="n">
        <x:f>N58*$C$20/$C$30</x:f>
        <x:v>17966.66666666666</x:v>
      </x:c>
    </x:row>
    <x:row r="60" ht="31" customHeight="1">
      <x:c r="A60" s="10" t="str">
        <x:v>Principal repayment</x:v>
      </x:c>
      <x:c r="B60" s="4"/>
      <x:c r="C60" s="4" t="n">
        <x:f>MIN(C58,$C$19/$C$21)</x:f>
        <x:v>36666.666666666664</x:v>
      </x:c>
      <x:c r="D60" s="4" t="n">
        <x:f>MIN(D58,$C$19/$C$21)</x:f>
        <x:v>36666.666666666664</x:v>
      </x:c>
      <x:c r="E60" s="4" t="n">
        <x:f>MIN(E58,$C$19/$C$21)</x:f>
        <x:v>36666.666666666664</x:v>
      </x:c>
      <x:c r="F60" s="4" t="n">
        <x:f>MIN(F58,$C$19/$C$21)</x:f>
        <x:v>36666.666666666664</x:v>
      </x:c>
      <x:c r="G60" s="4" t="n">
        <x:f>MIN(G58,$C$19/$C$21)</x:f>
        <x:v>36666.666666666664</x:v>
      </x:c>
      <x:c r="H60" s="4" t="n">
        <x:f>MIN(H58,$C$19/$C$21)</x:f>
        <x:v>36666.666666666664</x:v>
      </x:c>
      <x:c r="I60" s="4" t="n">
        <x:f>MIN(I58,$C$19/$C$21)</x:f>
        <x:v>36666.666666666664</x:v>
      </x:c>
      <x:c r="J60" s="4" t="n">
        <x:f>MIN(J58,$C$19/$C$21)</x:f>
        <x:v>36666.666666666664</x:v>
      </x:c>
      <x:c r="K60" s="4" t="n">
        <x:f>MIN(K58,$C$19/$C$21)</x:f>
        <x:v>36666.666666666664</x:v>
      </x:c>
      <x:c r="L60" s="4" t="n">
        <x:f>MIN(L58,$C$19/$C$21)</x:f>
        <x:v>36666.666666666664</x:v>
      </x:c>
      <x:c r="M60" s="4" t="n">
        <x:f>MIN(M58,$C$19/$C$21)</x:f>
        <x:v>36666.666666666664</x:v>
      </x:c>
      <x:c r="N60" s="4" t="n">
        <x:f>MIN(N58,$C$19/$C$21)</x:f>
        <x:v>36666.666666666664</x:v>
      </x:c>
    </x:row>
    <x:row r="61" ht="31" customHeight="1">
      <x:c r="A61" s="10" t="str">
        <x:v>Closing debt</x:v>
      </x:c>
      <x:c r="B61" s="4"/>
      <x:c r="C61" s="4" t="n">
        <x:f>C58-C60</x:f>
        <x:v>2163333.3333333335</x:v>
      </x:c>
      <x:c r="D61" s="4" t="n">
        <x:f>D58-D60</x:f>
        <x:v>2126666.666666667</x:v>
      </x:c>
      <x:c r="E61" s="4" t="n">
        <x:f>E58-E60</x:f>
        <x:v>2090000.0000000002</x:v>
      </x:c>
      <x:c r="F61" s="4" t="n">
        <x:f>F58-F60</x:f>
        <x:v>2053333.3333333335</x:v>
      </x:c>
      <x:c r="G61" s="4" t="n">
        <x:f>G58-G60</x:f>
        <x:v>2016666.6666666667</x:v>
      </x:c>
      <x:c r="H61" s="4" t="n">
        <x:f>H58-H60</x:f>
        <x:v>1980000</x:v>
      </x:c>
      <x:c r="I61" s="4" t="n">
        <x:f>I58-I60</x:f>
        <x:v>1943333.3333333333</x:v>
      </x:c>
      <x:c r="J61" s="4" t="n">
        <x:f>J58-J60</x:f>
        <x:v>1906666.6666666665</x:v>
      </x:c>
      <x:c r="K61" s="4" t="n">
        <x:f>K58-K60</x:f>
        <x:v>1869999.9999999998</x:v>
      </x:c>
      <x:c r="L61" s="4" t="n">
        <x:f>L58-L60</x:f>
        <x:v>1833333.333333333</x:v>
      </x:c>
      <x:c r="M61" s="4" t="n">
        <x:f>M58-M60</x:f>
        <x:v>1796666.6666666663</x:v>
      </x:c>
      <x:c r="N61" s="4" t="n">
        <x:f>N58-N60</x:f>
        <x:v>1759999.9999999995</x:v>
      </x:c>
    </x:row>
    <x:row r="62" ht="31" customHeight="1">
      <x:c r="A62" s="10" t="str">
        <x:v>Maintenance capital spend</x:v>
      </x:c>
      <x:c r="B62" s="4"/>
      <x:c r="C62" s="4" t="n">
        <x:f>$C$22</x:f>
        <x:v>9000</x:v>
      </x:c>
      <x:c r="D62" s="4" t="n">
        <x:f>$C$22</x:f>
        <x:v>9000</x:v>
      </x:c>
      <x:c r="E62" s="4" t="n">
        <x:f>$C$22</x:f>
        <x:v>9000</x:v>
      </x:c>
      <x:c r="F62" s="4" t="n">
        <x:f>$C$22</x:f>
        <x:v>9000</x:v>
      </x:c>
      <x:c r="G62" s="4" t="n">
        <x:f>$C$22</x:f>
        <x:v>9000</x:v>
      </x:c>
      <x:c r="H62" s="4" t="n">
        <x:f>$C$22</x:f>
        <x:v>9000</x:v>
      </x:c>
      <x:c r="I62" s="4" t="n">
        <x:f>$C$22</x:f>
        <x:v>9000</x:v>
      </x:c>
      <x:c r="J62" s="4" t="n">
        <x:f>$C$22</x:f>
        <x:v>9000</x:v>
      </x:c>
      <x:c r="K62" s="4" t="n">
        <x:f>$C$22</x:f>
        <x:v>9000</x:v>
      </x:c>
      <x:c r="L62" s="4" t="n">
        <x:f>$C$22</x:f>
        <x:v>9000</x:v>
      </x:c>
      <x:c r="M62" s="4" t="n">
        <x:f>$C$22</x:f>
        <x:v>9000</x:v>
      </x:c>
      <x:c r="N62" s="4" t="n">
        <x:f>$C$22</x:f>
        <x:v>9000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63133.33333333334</x:v>
      </x:c>
      <x:c r="D66" s="22" t="n">
        <x:f>D50-D57-SUM(D59:D60)-SUM(D62:D65)</x:f>
        <x:v>128866.00000000012</x:v>
      </x:c>
      <x:c r="E66" s="22" t="n">
        <x:f>E50-E57-SUM(E59:E60)-SUM(E62:E65)</x:f>
        <x:v>144239.13666666695</x:v>
      </x:c>
      <x:c r="F66" s="22" t="n">
        <x:f>F50-F57-SUM(F59:F60)-SUM(F62:F65)</x:f>
        <x:v>159945.65218333335</x:v>
      </x:c>
      <x:c r="G66" s="22" t="n">
        <x:f>G50-G57-SUM(G59:G60)-SUM(G62:G65)</x:f>
        <x:v>175992.31387535046</x:v>
      </x:c>
      <x:c r="H66" s="22" t="n">
        <x:f>H50-H57-SUM(H59:H60)-SUM(H62:H65)</x:f>
        <x:v>192386.0247138192</x:v>
      </x:c>
      <x:c r="I66" s="22" t="n">
        <x:f>I50-I57-SUM(I59:I60)-SUM(I62:I65)</x:f>
        <x:v>209133.82602940695</x:v>
      </x:c>
      <x:c r="J66" s="22" t="n">
        <x:f>J50-J57-SUM(J59:J60)-SUM(J62:J65)</x:f>
        <x:v>226242.90028043673</x:v>
      </x:c>
      <x:c r="K66" s="22" t="n">
        <x:f>K50-K57-SUM(K59:K60)-SUM(K62:K65)</x:f>
        <x:v>243720.5738763457</x:v>
      </x:c>
      <x:c r="L66" s="22" t="n">
        <x:f>L50-L57-SUM(L59:L60)-SUM(L62:L65)</x:f>
        <x:v>261574.32005760993</x:v>
      </x:c>
      <x:c r="M66" s="22" t="n">
        <x:f>M50-M57-SUM(M59:M60)-SUM(M62:M65)</x:f>
        <x:v>279811.76183327753</x:v>
      </x:c>
      <x:c r="N66" s="22" t="n">
        <x:f>N50-N57-SUM(N59:N60)-SUM(N62:N65)</x:f>
        <x:v>298440.67497724836</x:v>
      </x:c>
    </x:row>
    <x:row r="67" ht="31" customHeight="1">
      <x:c r="A67" s="10" t="str">
        <x:v>Opening cash</x:v>
      </x:c>
      <x:c r="B67" s="4"/>
      <x:c r="C67" s="4" t="n">
        <x:f>$C$15</x:f>
        <x:v>1500000</x:v>
      </x:c>
      <x:c r="D67" s="4" t="n">
        <x:f>C68</x:f>
        <x:v>1563133.3333333333</x:v>
      </x:c>
      <x:c r="E67" s="4" t="n">
        <x:f>D68</x:f>
        <x:v>1691999.3333333335</x:v>
      </x:c>
      <x:c r="F67" s="4" t="n">
        <x:f>E68</x:f>
        <x:v>1836238.4700000004</x:v>
      </x:c>
      <x:c r="G67" s="4" t="n">
        <x:f>F68</x:f>
        <x:v>1996184.1221833338</x:v>
      </x:c>
      <x:c r="H67" s="4" t="n">
        <x:f>G68</x:f>
        <x:v>2172176.4360586843</x:v>
      </x:c>
      <x:c r="I67" s="4" t="n">
        <x:f>H68</x:f>
        <x:v>2364562.4607725036</x:v>
      </x:c>
      <x:c r="J67" s="4" t="n">
        <x:f>I68</x:f>
        <x:v>2573696.2868019105</x:v>
      </x:c>
      <x:c r="K67" s="4" t="n">
        <x:f>J68</x:f>
        <x:v>2799939.1870823475</x:v>
      </x:c>
      <x:c r="L67" s="4" t="n">
        <x:f>K68</x:f>
        <x:v>3043659.760958693</x:v>
      </x:c>
      <x:c r="M67" s="4" t="n">
        <x:f>L68</x:f>
        <x:v>3305234.081016303</x:v>
      </x:c>
      <x:c r="N67" s="4" t="n">
        <x:f>M68</x:f>
        <x:v>3585045.8428495806</x:v>
      </x:c>
    </x:row>
    <x:row r="68" ht="31" customHeight="1">
      <x:c r="A68" s="23" t="str">
        <x:v>Closing cash</x:v>
      </x:c>
      <x:c r="B68" s="22"/>
      <x:c r="C68" s="22" t="n">
        <x:f>C67+C66</x:f>
        <x:v>1563133.3333333333</x:v>
      </x:c>
      <x:c r="D68" s="22" t="n">
        <x:f>D67+D66</x:f>
        <x:v>1691999.3333333335</x:v>
      </x:c>
      <x:c r="E68" s="22" t="n">
        <x:f>E67+E66</x:f>
        <x:v>1836238.4700000004</x:v>
      </x:c>
      <x:c r="F68" s="22" t="n">
        <x:f>F67+F66</x:f>
        <x:v>1996184.1221833338</x:v>
      </x:c>
      <x:c r="G68" s="22" t="n">
        <x:f>G67+G66</x:f>
        <x:v>2172176.4360586843</x:v>
      </x:c>
      <x:c r="H68" s="22" t="n">
        <x:f>H67+H66</x:f>
        <x:v>2364562.4607725036</x:v>
      </x:c>
      <x:c r="I68" s="22" t="n">
        <x:f>I67+I66</x:f>
        <x:v>2573696.2868019105</x:v>
      </x:c>
      <x:c r="J68" s="22" t="n">
        <x:f>J67+J66</x:f>
        <x:v>2799939.1870823475</x:v>
      </x:c>
      <x:c r="K68" s="22" t="n">
        <x:f>K67+K66</x:f>
        <x:v>3043659.760958693</x:v>
      </x:c>
      <x:c r="L68" s="22" t="n">
        <x:f>L67+L66</x:f>
        <x:v>3305234.081016303</x:v>
      </x:c>
      <x:c r="M68" s="22" t="n">
        <x:f>M67+M66</x:f>
        <x:v>3585045.8428495806</x:v>
      </x:c>
      <x:c r="N68" s="22" t="n">
        <x:f>N67+N66</x:f>
        <x:v>3883486.517826829</x:v>
      </x:c>
    </x:row>
    <x:row r="69" ht="31" customHeight="1">
      <x:c r="A69" s="10" t="str">
        <x:v>Cash-buffer shortfall</x:v>
      </x:c>
      <x:c r="B69" s="4"/>
      <x:c r="C69" s="4" t="n">
        <x:f>MAX(0,$C$15-C68)</x:f>
        <x:v>0</x:v>
      </x:c>
      <x:c r="D69" s="4" t="n">
        <x:f>MAX(0,$C$15-D68)</x:f>
        <x:v>0</x:v>
      </x:c>
      <x:c r="E69" s="4" t="n">
        <x:f>MAX(0,$C$15-E68)</x:f>
        <x:v>0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3.1107954545454546</x:v>
      </x:c>
      <x:c r="D70" s="30" t="n">
        <x:f>IF(SUM(D59:D60)&gt;0,D50/SUM(D59:D60),"No debt")</x:f>
        <x:v>3.3825042881646676</x:v>
      </x:c>
      <x:c r="E70" s="30" t="n">
        <x:f>IF(SUM(E59:E60)&gt;0,E50/SUM(E59:E60),"No debt")</x:f>
        <x:v>3.663299482163411</x:v>
      </x:c>
      <x:c r="F70" s="30" t="n">
        <x:f>IF(SUM(F59:F60)&gt;0,F50/SUM(F59:F60),"No debt")</x:f>
        <x:v>3.953470048349739</x:v>
      </x:c>
      <x:c r="G70" s="30" t="n">
        <x:f>IF(SUM(G59:G60)&gt;0,G50/SUM(G59:G60),"No debt")</x:f>
        <x:v>4.253314736841792</x:v>
      </x:c>
      <x:c r="H70" s="30" t="n">
        <x:f>IF(SUM(H59:H60)&gt;0,H50/SUM(H59:H60),"No debt")</x:f>
        <x:v>4.563142397077874</x:v>
      </x:c>
      <x:c r="I70" s="30" t="n">
        <x:f>IF(SUM(I59:I60)&gt;0,I50/SUM(I59:I60),"No debt")</x:f>
        <x:v>4.88327235383558</x:v>
      </x:c>
      <x:c r="J70" s="30" t="n">
        <x:f>IF(SUM(J59:J60)&gt;0,J50/SUM(J59:J60),"No debt")</x:f>
        <x:v>5.214034798965342</x:v>
      </x:c>
      <x:c r="K70" s="30" t="n">
        <x:f>IF(SUM(K59:K60)&gt;0,K50/SUM(K59:K60),"No debt")</x:f>
        <x:v>5.55577119958185</x:v>
      </x:c>
      <x:c r="L70" s="30" t="n">
        <x:f>IF(SUM(L59:L60)&gt;0,L50/SUM(L59:L60),"No debt")</x:f>
        <x:v>5.9088347234960805</x:v>
      </x:c>
      <x:c r="M70" s="30" t="n">
        <x:f>IF(SUM(M59:M60)&gt;0,M50/SUM(M59:M60),"No debt")</x:f>
        <x:v>6.273590682713328</x:v>
      </x:c>
      <x:c r="N70" s="30" t="n">
        <x:f>IF(SUM(N59:N60)&gt;0,N50/SUM(N59:N60),"No debt")</x:f>
        <x:v>6.650416995866802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0.5882352941176471</x:v>
      </x:c>
      <x:c r="D71" s="20" t="n">
        <x:f>IF($C$10&gt;0,D43/$C$10,0)</x:f>
        <x:v>0.6</x:v>
      </x:c>
      <x:c r="E71" s="20" t="n">
        <x:f>IF($C$10&gt;0,E43/$C$10,0)</x:f>
        <x:v>0.6120000000000001</x:v>
      </x:c>
      <x:c r="F71" s="20" t="n">
        <x:f>IF($C$10&gt;0,F43/$C$10,0)</x:f>
        <x:v>0.6242399999999999</x:v>
      </x:c>
      <x:c r="G71" s="20" t="n">
        <x:f>IF($C$10&gt;0,G43/$C$10,0)</x:f>
        <x:v>0.6367248000000001</x:v>
      </x:c>
      <x:c r="H71" s="20" t="n">
        <x:f>IF($C$10&gt;0,H43/$C$10,0)</x:f>
        <x:v>0.649459296</x:v>
      </x:c>
      <x:c r="I71" s="20" t="n">
        <x:f>IF($C$10&gt;0,I43/$C$10,0)</x:f>
        <x:v>0.66244848192</x:v>
      </x:c>
      <x:c r="J71" s="20" t="n">
        <x:f>IF($C$10&gt;0,J43/$C$10,0)</x:f>
        <x:v>0.6756974515583999</x:v>
      </x:c>
      <x:c r="K71" s="20" t="n">
        <x:f>IF($C$10&gt;0,K43/$C$10,0)</x:f>
        <x:v>0.689211400589568</x:v>
      </x:c>
      <x:c r="L71" s="20" t="n">
        <x:f>IF($C$10&gt;0,L43/$C$10,0)</x:f>
        <x:v>0.7029956286013593</x:v>
      </x:c>
      <x:c r="M71" s="20" t="n">
        <x:f>IF($C$10&gt;0,M43/$C$10,0)</x:f>
        <x:v>0.7170555411733865</x:v>
      </x:c>
      <x:c r="N71" s="20" t="n">
        <x:f>IF($C$10&gt;0,N43/$C$10,0)</x:f>
        <x:v>0.7313966519968541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7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664841d7077b4be2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Preschool, Daycare &amp; Crèche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64</x:v>
      </x:c>
      <x:c r="D6" s="10" t="str">
        <x:v>occupied child-months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672000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10500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144000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2250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8250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370000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528000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80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158000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0.7857142857142857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44.84848484848485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1800000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470909.09090909094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450000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0.8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1200000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3650000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3150000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7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7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537600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500000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410880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40880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672000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3600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9012924.297301522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2567585.8075816687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3434805.6227176734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1232426.6666666667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64</x:v>
      </x:c>
      <x:c r="D43" s="4" t="n">
        <x:f>MIN($C$10,$C$6*(1+$C$11)^1)</x:f>
        <x:v>65.28</x:v>
      </x:c>
      <x:c r="E43" s="4" t="n">
        <x:f>MIN($C$10,$C$6*(1+$C$11)^2)</x:f>
        <x:v>66.5856</x:v>
      </x:c>
      <x:c r="F43" s="4" t="n">
        <x:f>MIN($C$10,$C$6*(1+$C$11)^3)</x:f>
        <x:v>67.917312</x:v>
      </x:c>
      <x:c r="G43" s="4" t="n">
        <x:f>MIN($C$10,$C$6*(1+$C$11)^4)</x:f>
        <x:v>69.27565824</x:v>
      </x:c>
      <x:c r="H43" s="4" t="n">
        <x:f>MIN($C$10,$C$6*(1+$C$11)^5)</x:f>
        <x:v>70.6611714048</x:v>
      </x:c>
      <x:c r="I43" s="4" t="n">
        <x:f>MIN($C$10,$C$6*(1+$C$11)^6)</x:f>
        <x:v>72.074394832896</x:v>
      </x:c>
      <x:c r="J43" s="4" t="n">
        <x:f>MIN($C$10,$C$6*(1+$C$11)^7)</x:f>
        <x:v>73.51588272955391</x:v>
      </x:c>
      <x:c r="K43" s="4" t="n">
        <x:f>MIN($C$10,$C$6*(1+$C$11)^8)</x:f>
        <x:v>74.986200384145</x:v>
      </x:c>
      <x:c r="L43" s="4" t="n">
        <x:f>MIN($C$10,$C$6*(1+$C$11)^9)</x:f>
        <x:v>76.4859243918279</x:v>
      </x:c>
      <x:c r="M43" s="4" t="n">
        <x:f>MIN($C$10,$C$6*(1+$C$11)^10)</x:f>
        <x:v>78.01564287966445</x:v>
      </x:c>
      <x:c r="N43" s="4" t="n">
        <x:f>MIN($C$10,$C$6*(1+$C$11)^11)</x:f>
        <x:v>79.57595573725773</x:v>
      </x:c>
    </x:row>
    <x:row r="44" ht="31" customHeight="1">
      <x:c r="A44" s="10" t="str">
        <x:v>Net unit price</x:v>
      </x:c>
      <x:c r="B44" s="4"/>
      <x:c r="C44" s="4" t="n">
        <x:f>$C$7*(1+$C$34)^0</x:f>
        <x:v>10500</x:v>
      </x:c>
      <x:c r="D44" s="4" t="n">
        <x:f>$C$7*(1+$C$34)^1</x:f>
        <x:v>10500</x:v>
      </x:c>
      <x:c r="E44" s="4" t="n">
        <x:f>$C$7*(1+$C$34)^2</x:f>
        <x:v>10500</x:v>
      </x:c>
      <x:c r="F44" s="4" t="n">
        <x:f>$C$7*(1+$C$34)^3</x:f>
        <x:v>10500</x:v>
      </x:c>
      <x:c r="G44" s="4" t="n">
        <x:f>$C$7*(1+$C$34)^4</x:f>
        <x:v>10500</x:v>
      </x:c>
      <x:c r="H44" s="4" t="n">
        <x:f>$C$7*(1+$C$34)^5</x:f>
        <x:v>10500</x:v>
      </x:c>
      <x:c r="I44" s="4" t="n">
        <x:f>$C$7*(1+$C$34)^6</x:f>
        <x:v>10500</x:v>
      </x:c>
      <x:c r="J44" s="4" t="n">
        <x:f>$C$7*(1+$C$34)^7</x:f>
        <x:v>10500</x:v>
      </x:c>
      <x:c r="K44" s="4" t="n">
        <x:f>$C$7*(1+$C$34)^8</x:f>
        <x:v>10500</x:v>
      </x:c>
      <x:c r="L44" s="4" t="n">
        <x:f>$C$7*(1+$C$34)^9</x:f>
        <x:v>10500</x:v>
      </x:c>
      <x:c r="M44" s="4" t="n">
        <x:f>$C$7*(1+$C$34)^10</x:f>
        <x:v>10500</x:v>
      </x:c>
      <x:c r="N44" s="4" t="n">
        <x:f>$C$7*(1+$C$34)^11</x:f>
        <x:v>10500</x:v>
      </x:c>
    </x:row>
    <x:row r="45" ht="31" customHeight="1">
      <x:c r="A45" s="23" t="str">
        <x:v>Net revenue</x:v>
      </x:c>
      <x:c r="B45" s="22"/>
      <x:c r="C45" s="22" t="n">
        <x:f>C43*C44</x:f>
        <x:v>672000</x:v>
      </x:c>
      <x:c r="D45" s="22" t="n">
        <x:f>D43*D44</x:f>
        <x:v>685440</x:v>
      </x:c>
      <x:c r="E45" s="22" t="n">
        <x:f>E43*E44</x:f>
        <x:v>699148.8</x:v>
      </x:c>
      <x:c r="F45" s="22" t="n">
        <x:f>F43*F44</x:f>
        <x:v>713131.776</x:v>
      </x:c>
      <x:c r="G45" s="22" t="n">
        <x:f>G43*G44</x:f>
        <x:v>727394.41152</x:v>
      </x:c>
      <x:c r="H45" s="22" t="n">
        <x:f>H43*H44</x:f>
        <x:v>741942.2997504</x:v>
      </x:c>
      <x:c r="I45" s="22" t="n">
        <x:f>I43*I44</x:f>
        <x:v>756781.145745408</x:v>
      </x:c>
      <x:c r="J45" s="22" t="n">
        <x:f>J43*J44</x:f>
        <x:v>771916.768660316</x:v>
      </x:c>
      <x:c r="K45" s="22" t="n">
        <x:f>K43*K44</x:f>
        <x:v>787355.1040335224</x:v>
      </x:c>
      <x:c r="L45" s="22" t="n">
        <x:f>L43*L44</x:f>
        <x:v>803102.2061141928</x:v>
      </x:c>
      <x:c r="M45" s="22" t="n">
        <x:f>M43*M44</x:f>
        <x:v>819164.2502364768</x:v>
      </x:c>
      <x:c r="N45" s="22" t="n">
        <x:f>N43*N44</x:f>
        <x:v>835547.5352412062</x:v>
      </x:c>
    </x:row>
    <x:row r="46" ht="31" customHeight="1">
      <x:c r="A46" s="10" t="str">
        <x:v>Variable cost per unit</x:v>
      </x:c>
      <x:c r="B46" s="4"/>
      <x:c r="C46" s="4" t="n">
        <x:f>$C$8</x:f>
        <x:v>2250</x:v>
      </x:c>
      <x:c r="D46" s="4" t="n">
        <x:f>$C$8</x:f>
        <x:v>2250</x:v>
      </x:c>
      <x:c r="E46" s="4" t="n">
        <x:f>$C$8</x:f>
        <x:v>2250</x:v>
      </x:c>
      <x:c r="F46" s="4" t="n">
        <x:f>$C$8</x:f>
        <x:v>2250</x:v>
      </x:c>
      <x:c r="G46" s="4" t="n">
        <x:f>$C$8</x:f>
        <x:v>2250</x:v>
      </x:c>
      <x:c r="H46" s="4" t="n">
        <x:f>$C$8</x:f>
        <x:v>2250</x:v>
      </x:c>
      <x:c r="I46" s="4" t="n">
        <x:f>$C$8</x:f>
        <x:v>2250</x:v>
      </x:c>
      <x:c r="J46" s="4" t="n">
        <x:f>$C$8</x:f>
        <x:v>2250</x:v>
      </x:c>
      <x:c r="K46" s="4" t="n">
        <x:f>$C$8</x:f>
        <x:v>2250</x:v>
      </x:c>
      <x:c r="L46" s="4" t="n">
        <x:f>$C$8</x:f>
        <x:v>2250</x:v>
      </x:c>
      <x:c r="M46" s="4" t="n">
        <x:f>$C$8</x:f>
        <x:v>2250</x:v>
      </x:c>
      <x:c r="N46" s="4" t="n">
        <x:f>$C$8</x:f>
        <x:v>2250</x:v>
      </x:c>
    </x:row>
    <x:row r="47" ht="31" customHeight="1">
      <x:c r="A47" s="10" t="str">
        <x:v>Variable cash cost</x:v>
      </x:c>
      <x:c r="B47" s="4"/>
      <x:c r="C47" s="4" t="n">
        <x:f>C43*C46</x:f>
        <x:v>144000</x:v>
      </x:c>
      <x:c r="D47" s="4" t="n">
        <x:f>D43*D46</x:f>
        <x:v>146880</x:v>
      </x:c>
      <x:c r="E47" s="4" t="n">
        <x:f>E43*E46</x:f>
        <x:v>149817.6</x:v>
      </x:c>
      <x:c r="F47" s="4" t="n">
        <x:f>F43*F46</x:f>
        <x:v>152813.952</x:v>
      </x:c>
      <x:c r="G47" s="4" t="n">
        <x:f>G43*G46</x:f>
        <x:v>155870.23103999998</x:v>
      </x:c>
      <x:c r="H47" s="4" t="n">
        <x:f>H43*H46</x:f>
        <x:v>158987.6356608</x:v>
      </x:c>
      <x:c r="I47" s="4" t="n">
        <x:f>I43*I46</x:f>
        <x:v>162167.388374016</x:v>
      </x:c>
      <x:c r="J47" s="4" t="n">
        <x:f>J43*J46</x:f>
        <x:v>165410.73614149628</x:v>
      </x:c>
      <x:c r="K47" s="4" t="n">
        <x:f>K43*K46</x:f>
        <x:v>168718.95086432624</x:v>
      </x:c>
      <x:c r="L47" s="4" t="n">
        <x:f>L43*L46</x:f>
        <x:v>172093.32988161276</x:v>
      </x:c>
      <x:c r="M47" s="4" t="n">
        <x:f>M43*M46</x:f>
        <x:v>175535.19647924503</x:v>
      </x:c>
      <x:c r="N47" s="4" t="n">
        <x:f>N43*N46</x:f>
        <x:v>179045.90040882988</x:v>
      </x:c>
    </x:row>
    <x:row r="48" ht="31" customHeight="1">
      <x:c r="A48" s="10" t="str">
        <x:v>Contribution</x:v>
      </x:c>
      <x:c r="B48" s="4"/>
      <x:c r="C48" s="4" t="n">
        <x:f>C45-C47</x:f>
        <x:v>528000</x:v>
      </x:c>
      <x:c r="D48" s="4" t="n">
        <x:f>D45-D47</x:f>
        <x:v>538560</x:v>
      </x:c>
      <x:c r="E48" s="4" t="n">
        <x:f>E45-E47</x:f>
        <x:v>549331.2000000001</x:v>
      </x:c>
      <x:c r="F48" s="4" t="n">
        <x:f>F45-F47</x:f>
        <x:v>560317.824</x:v>
      </x:c>
      <x:c r="G48" s="4" t="n">
        <x:f>G45-G47</x:f>
        <x:v>571524.18048</x:v>
      </x:c>
      <x:c r="H48" s="4" t="n">
        <x:f>H45-H47</x:f>
        <x:v>582954.6640896</x:v>
      </x:c>
      <x:c r="I48" s="4" t="n">
        <x:f>I45-I47</x:f>
        <x:v>594613.757371392</x:v>
      </x:c>
      <x:c r="J48" s="4" t="n">
        <x:f>J45-J47</x:f>
        <x:v>606506.0325188197</x:v>
      </x:c>
      <x:c r="K48" s="4" t="n">
        <x:f>K45-K47</x:f>
        <x:v>618636.1531691962</x:v>
      </x:c>
      <x:c r="L48" s="4" t="n">
        <x:f>L45-L47</x:f>
        <x:v>631008.87623258</x:v>
      </x:c>
      <x:c r="M48" s="4" t="n">
        <x:f>M45-M47</x:f>
        <x:v>643629.0537572317</x:v>
      </x:c>
      <x:c r="N48" s="4" t="n">
        <x:f>N45-N47</x:f>
        <x:v>656501.6348323763</x:v>
      </x:c>
    </x:row>
    <x:row r="49" ht="31" customHeight="1">
      <x:c r="A49" s="10" t="str">
        <x:v>Fixed cash costs</x:v>
      </x:c>
      <x:c r="B49" s="4"/>
      <x:c r="C49" s="4" t="n">
        <x:f>$C$9*(1+$C$12)^0</x:f>
        <x:v>370000</x:v>
      </x:c>
      <x:c r="D49" s="4" t="n">
        <x:f>$C$9*(1+$C$12)^1</x:f>
        <x:v>371109.99999999994</x:v>
      </x:c>
      <x:c r="E49" s="4" t="n">
        <x:f>$C$9*(1+$C$12)^2</x:f>
        <x:v>372223.3299999999</x:v>
      </x:c>
      <x:c r="F49" s="4" t="n">
        <x:f>$C$9*(1+$C$12)^3</x:f>
        <x:v>373339.99998999987</x:v>
      </x:c>
      <x:c r="G49" s="4" t="n">
        <x:f>$C$9*(1+$C$12)^4</x:f>
        <x:v>374460.0199899698</x:v>
      </x:c>
      <x:c r="H49" s="4" t="n">
        <x:f>$C$9*(1+$C$12)^5</x:f>
        <x:v>375583.4000499397</x:v>
      </x:c>
      <x:c r="I49" s="4" t="n">
        <x:f>$C$9*(1+$C$12)^6</x:f>
        <x:v>376710.1502500894</x:v>
      </x:c>
      <x:c r="J49" s="4" t="n">
        <x:f>$C$9*(1+$C$12)^7</x:f>
        <x:v>377840.28070083965</x:v>
      </x:c>
      <x:c r="K49" s="4" t="n">
        <x:f>$C$9*(1+$C$12)^8</x:f>
        <x:v>378973.8015429421</x:v>
      </x:c>
      <x:c r="L49" s="4" t="n">
        <x:f>$C$9*(1+$C$12)^9</x:f>
        <x:v>380110.7229475709</x:v>
      </x:c>
      <x:c r="M49" s="4" t="n">
        <x:f>$C$9*(1+$C$12)^10</x:f>
        <x:v>381251.05511641357</x:v>
      </x:c>
      <x:c r="N49" s="4" t="n">
        <x:f>$C$9*(1+$C$12)^11</x:f>
        <x:v>382394.8082817628</x:v>
      </x:c>
    </x:row>
    <x:row r="50" ht="31" customHeight="1">
      <x:c r="A50" s="23" t="str">
        <x:v>Operating cash profit (EBITDA)</x:v>
      </x:c>
      <x:c r="B50" s="22"/>
      <x:c r="C50" s="22" t="n">
        <x:f>C48-C49</x:f>
        <x:v>158000</x:v>
      </x:c>
      <x:c r="D50" s="22" t="n">
        <x:f>D48-D49</x:f>
        <x:v>167450.00000000006</x:v>
      </x:c>
      <x:c r="E50" s="22" t="n">
        <x:f>E48-E49</x:f>
        <x:v>177107.87000000017</x:v>
      </x:c>
      <x:c r="F50" s="22" t="n">
        <x:f>F48-F49</x:f>
        <x:v>186977.82401000016</x:v>
      </x:c>
      <x:c r="G50" s="22" t="n">
        <x:f>G48-G49</x:f>
        <x:v>197064.1604900302</x:v>
      </x:c>
      <x:c r="H50" s="22" t="n">
        <x:f>H48-H49</x:f>
        <x:v>207371.26403966028</x:v>
      </x:c>
      <x:c r="I50" s="22" t="n">
        <x:f>I48-I49</x:f>
        <x:v>217903.60712130257</x:v>
      </x:c>
      <x:c r="J50" s="22" t="n">
        <x:f>J48-J49</x:f>
        <x:v>228665.75181798002</x:v>
      </x:c>
      <x:c r="K50" s="22" t="n">
        <x:f>K48-K49</x:f>
        <x:v>239662.3516262541</x:v>
      </x:c>
      <x:c r="L50" s="22" t="n">
        <x:f>L48-L49</x:f>
        <x:v>250898.15328500915</x:v>
      </x:c>
      <x:c r="M50" s="22" t="n">
        <x:f>M48-M49</x:f>
        <x:v>262377.9986408181</x:v>
      </x:c>
      <x:c r="N50" s="22" t="n">
        <x:f>N48-N49</x:f>
        <x:v>274106.82655061345</x:v>
      </x:c>
    </x:row>
    <x:row r="51" ht="31" customHeight="1">
      <x:c r="A51" s="10" t="str">
        <x:v>Planning depreciation</x:v>
      </x:c>
      <x:c r="B51" s="4"/>
      <x:c r="C51" s="4" t="n">
        <x:f>$C$13/$C$33/$C$30</x:f>
        <x:v>30000</x:v>
      </x:c>
      <x:c r="D51" s="4" t="n">
        <x:f>$C$13/$C$33/$C$30</x:f>
        <x:v>30000</x:v>
      </x:c>
      <x:c r="E51" s="4" t="n">
        <x:f>$C$13/$C$33/$C$30</x:f>
        <x:v>30000</x:v>
      </x:c>
      <x:c r="F51" s="4" t="n">
        <x:f>$C$13/$C$33/$C$30</x:f>
        <x:v>30000</x:v>
      </x:c>
      <x:c r="G51" s="4" t="n">
        <x:f>$C$13/$C$33/$C$30</x:f>
        <x:v>30000</x:v>
      </x:c>
      <x:c r="H51" s="4" t="n">
        <x:f>$C$13/$C$33/$C$30</x:f>
        <x:v>30000</x:v>
      </x:c>
      <x:c r="I51" s="4" t="n">
        <x:f>$C$13/$C$33/$C$30</x:f>
        <x:v>30000</x:v>
      </x:c>
      <x:c r="J51" s="4" t="n">
        <x:f>$C$13/$C$33/$C$30</x:f>
        <x:v>30000</x:v>
      </x:c>
      <x:c r="K51" s="4" t="n">
        <x:f>$C$13/$C$33/$C$30</x:f>
        <x:v>30000</x:v>
      </x:c>
      <x:c r="L51" s="4" t="n">
        <x:f>$C$13/$C$33/$C$30</x:f>
        <x:v>30000</x:v>
      </x:c>
      <x:c r="M51" s="4" t="n">
        <x:f>$C$13/$C$33/$C$30</x:f>
        <x:v>30000</x:v>
      </x:c>
      <x:c r="N51" s="4" t="n">
        <x:f>$C$13/$C$33/$C$30</x:f>
        <x:v>30000</x:v>
      </x:c>
    </x:row>
    <x:row r="52" ht="31" customHeight="1">
      <x:c r="A52" s="10" t="str">
        <x:v>Operating profit (EBIT)</x:v>
      </x:c>
      <x:c r="B52" s="4"/>
      <x:c r="C52" s="4" t="n">
        <x:f>C50-C51</x:f>
        <x:v>128000</x:v>
      </x:c>
      <x:c r="D52" s="4" t="n">
        <x:f>D50-D51</x:f>
        <x:v>137450.00000000006</x:v>
      </x:c>
      <x:c r="E52" s="4" t="n">
        <x:f>E50-E51</x:f>
        <x:v>147107.87000000017</x:v>
      </x:c>
      <x:c r="F52" s="4" t="n">
        <x:f>F50-F51</x:f>
        <x:v>156977.82401000016</x:v>
      </x:c>
      <x:c r="G52" s="4" t="n">
        <x:f>G50-G51</x:f>
        <x:v>167064.1604900302</x:v>
      </x:c>
      <x:c r="H52" s="4" t="n">
        <x:f>H50-H51</x:f>
        <x:v>177371.26403966028</x:v>
      </x:c>
      <x:c r="I52" s="4" t="n">
        <x:f>I50-I51</x:f>
        <x:v>187903.60712130257</x:v>
      </x:c>
      <x:c r="J52" s="4" t="n">
        <x:f>J50-J51</x:f>
        <x:v>198665.75181798002</x:v>
      </x:c>
      <x:c r="K52" s="4" t="n">
        <x:f>K50-K51</x:f>
        <x:v>209662.3516262541</x:v>
      </x:c>
      <x:c r="L52" s="4" t="n">
        <x:f>L50-L51</x:f>
        <x:v>220898.15328500915</x:v>
      </x:c>
      <x:c r="M52" s="4" t="n">
        <x:f>M50-M51</x:f>
        <x:v>232377.9986408181</x:v>
      </x:c>
      <x:c r="N52" s="4" t="n">
        <x:f>N50-N51</x:f>
        <x:v>244106.82655061345</x:v>
      </x:c>
    </x:row>
    <x:row r="53" ht="31" customHeight="1">
      <x:c r="A53" s="10" t="str">
        <x:v>Receivables</x:v>
      </x:c>
      <x:c r="B53" s="4"/>
      <x:c r="C53" s="4" t="n">
        <x:f>C45*$C$16/$C$29</x:f>
        <x:v>112000</x:v>
      </x:c>
      <x:c r="D53" s="4" t="n">
        <x:f>D45*$C$16/$C$29</x:f>
        <x:v>114240</x:v>
      </x:c>
      <x:c r="E53" s="4" t="n">
        <x:f>E45*$C$16/$C$29</x:f>
        <x:v>116524.8</x:v>
      </x:c>
      <x:c r="F53" s="4" t="n">
        <x:f>F45*$C$16/$C$29</x:f>
        <x:v>118855.296</x:v>
      </x:c>
      <x:c r="G53" s="4" t="n">
        <x:f>G45*$C$16/$C$29</x:f>
        <x:v>121232.40192</x:v>
      </x:c>
      <x:c r="H53" s="4" t="n">
        <x:f>H45*$C$16/$C$29</x:f>
        <x:v>123657.04995839999</x:v>
      </x:c>
      <x:c r="I53" s="4" t="n">
        <x:f>I45*$C$16/$C$29</x:f>
        <x:v>126130.19095756799</x:v>
      </x:c>
      <x:c r="J53" s="4" t="n">
        <x:f>J45*$C$16/$C$29</x:f>
        <x:v>128652.79477671934</x:v>
      </x:c>
      <x:c r="K53" s="4" t="n">
        <x:f>K45*$C$16/$C$29</x:f>
        <x:v>131225.85067225373</x:v>
      </x:c>
      <x:c r="L53" s="4" t="n">
        <x:f>L45*$C$16/$C$29</x:f>
        <x:v>133850.36768569882</x:v>
      </x:c>
      <x:c r="M53" s="4" t="n">
        <x:f>M45*$C$16/$C$29</x:f>
        <x:v>136527.3750394128</x:v>
      </x:c>
      <x:c r="N53" s="4" t="n">
        <x:f>N45*$C$16/$C$29</x:f>
        <x:v>139257.92254020102</x:v>
      </x:c>
    </x:row>
    <x:row r="54" ht="31" customHeight="1">
      <x:c r="A54" s="10" t="str">
        <x:v>Own inventory</x:v>
      </x:c>
      <x:c r="B54" s="4"/>
      <x:c r="C54" s="4" t="n">
        <x:f>C47*$C$31*$C$17/$C$29</x:f>
        <x:v>20160</x:v>
      </x:c>
      <x:c r="D54" s="4" t="n">
        <x:f>D47*$C$31*$C$17/$C$29</x:f>
        <x:v>20563.2</x:v>
      </x:c>
      <x:c r="E54" s="4" t="n">
        <x:f>E47*$C$31*$C$17/$C$29</x:f>
        <x:v>20974.463999999996</x:v>
      </x:c>
      <x:c r="F54" s="4" t="n">
        <x:f>F47*$C$31*$C$17/$C$29</x:f>
        <x:v>21393.95328</x:v>
      </x:c>
      <x:c r="G54" s="4" t="n">
        <x:f>G47*$C$31*$C$17/$C$29</x:f>
        <x:v>21821.832345599996</x:v>
      </x:c>
      <x:c r="H54" s="4" t="n">
        <x:f>H47*$C$31*$C$17/$C$29</x:f>
        <x:v>22258.268992512003</x:v>
      </x:c>
      <x:c r="I54" s="4" t="n">
        <x:f>I47*$C$31*$C$17/$C$29</x:f>
        <x:v>22703.43437236224</x:v>
      </x:c>
      <x:c r="J54" s="4" t="n">
        <x:f>J47*$C$31*$C$17/$C$29</x:f>
        <x:v>23157.50305980948</x:v>
      </x:c>
      <x:c r="K54" s="4" t="n">
        <x:f>K47*$C$31*$C$17/$C$29</x:f>
        <x:v>23620.653121005675</x:v>
      </x:c>
      <x:c r="L54" s="4" t="n">
        <x:f>L47*$C$31*$C$17/$C$29</x:f>
        <x:v>24093.066183425784</x:v>
      </x:c>
      <x:c r="M54" s="4" t="n">
        <x:f>M47*$C$31*$C$17/$C$29</x:f>
        <x:v>24574.927507094304</x:v>
      </x:c>
      <x:c r="N54" s="4" t="n">
        <x:f>N47*$C$31*$C$17/$C$29</x:f>
        <x:v>25066.426057236185</x:v>
      </x:c>
    </x:row>
    <x:row r="55" ht="31" customHeight="1">
      <x:c r="A55" s="10" t="str">
        <x:v>Supplier payables</x:v>
      </x:c>
      <x:c r="B55" s="4"/>
      <x:c r="C55" s="4" t="n">
        <x:f>C47*$C$32*$C$18/$C$29</x:f>
        <x:v>23520</x:v>
      </x:c>
      <x:c r="D55" s="4" t="n">
        <x:f>D47*$C$32*$C$18/$C$29</x:f>
        <x:v>23990.4</x:v>
      </x:c>
      <x:c r="E55" s="4" t="n">
        <x:f>E47*$C$32*$C$18/$C$29</x:f>
        <x:v>24470.208</x:v>
      </x:c>
      <x:c r="F55" s="4" t="n">
        <x:f>F47*$C$32*$C$18/$C$29</x:f>
        <x:v>24959.61216</x:v>
      </x:c>
      <x:c r="G55" s="4" t="n">
        <x:f>G47*$C$32*$C$18/$C$29</x:f>
        <x:v>25458.804403199993</x:v>
      </x:c>
      <x:c r="H55" s="4" t="n">
        <x:f>H47*$C$32*$C$18/$C$29</x:f>
        <x:v>25967.980491264003</x:v>
      </x:c>
      <x:c r="I55" s="4" t="n">
        <x:f>I47*$C$32*$C$18/$C$29</x:f>
        <x:v>26487.34010108928</x:v>
      </x:c>
      <x:c r="J55" s="4" t="n">
        <x:f>J47*$C$32*$C$18/$C$29</x:f>
        <x:v>27017.08690311106</x:v>
      </x:c>
      <x:c r="K55" s="4" t="n">
        <x:f>K47*$C$32*$C$18/$C$29</x:f>
        <x:v>27557.428641173283</x:v>
      </x:c>
      <x:c r="L55" s="4" t="n">
        <x:f>L47*$C$32*$C$18/$C$29</x:f>
        <x:v>28108.57721399675</x:v>
      </x:c>
      <x:c r="M55" s="4" t="n">
        <x:f>M47*$C$32*$C$18/$C$29</x:f>
        <x:v>28670.748758276688</x:v>
      </x:c>
      <x:c r="N55" s="4" t="n">
        <x:f>N47*$C$32*$C$18/$C$29</x:f>
        <x:v>29244.163733442212</x:v>
      </x:c>
    </x:row>
    <x:row r="56" ht="31" customHeight="1">
      <x:c r="A56" s="23" t="str">
        <x:v>Net working capital</x:v>
      </x:c>
      <x:c r="B56" s="22"/>
      <x:c r="C56" s="22" t="n">
        <x:f>C53+C54-C55</x:f>
        <x:v>108640</x:v>
      </x:c>
      <x:c r="D56" s="22" t="n">
        <x:f>D53+D54-D55</x:f>
        <x:v>110812.80000000002</x:v>
      </x:c>
      <x:c r="E56" s="22" t="n">
        <x:f>E53+E54-E55</x:f>
        <x:v>113029.056</x:v>
      </x:c>
      <x:c r="F56" s="22" t="n">
        <x:f>F53+F54-F55</x:f>
        <x:v>115289.63711999998</x:v>
      </x:c>
      <x:c r="G56" s="22" t="n">
        <x:f>G53+G54-G55</x:f>
        <x:v>117595.42986240002</x:v>
      </x:c>
      <x:c r="H56" s="22" t="n">
        <x:f>H53+H54-H55</x:f>
        <x:v>119947.33845964799</x:v>
      </x:c>
      <x:c r="I56" s="22" t="n">
        <x:f>I53+I54-I55</x:f>
        <x:v>122346.28522884093</x:v>
      </x:c>
      <x:c r="J56" s="22" t="n">
        <x:f>J53+J54-J55</x:f>
        <x:v>124793.21093341777</x:v>
      </x:c>
      <x:c r="K56" s="22" t="n">
        <x:f>K53+K54-K55</x:f>
        <x:v>127289.07515208612</x:v>
      </x:c>
      <x:c r="L56" s="22" t="n">
        <x:f>L53+L54-L55</x:f>
        <x:v>129834.85665512785</x:v>
      </x:c>
      <x:c r="M56" s="22" t="n">
        <x:f>M53+M54-M55</x:f>
        <x:v>132431.5537882304</x:v>
      </x:c>
      <x:c r="N56" s="22" t="n">
        <x:f>N53+N54-N55</x:f>
        <x:v>135080.184863995</x:v>
      </x:c>
    </x:row>
    <x:row r="57" ht="31" customHeight="1">
      <x:c r="A57" s="10" t="str">
        <x:v>Increase in working capital</x:v>
      </x:c>
      <x:c r="B57" s="4"/>
      <x:c r="C57" s="4" t="n">
        <x:f>C56</x:f>
        <x:v>108640</x:v>
      </x:c>
      <x:c r="D57" s="4" t="n">
        <x:f>D56-C56</x:f>
        <x:v>2172.8000000000175</x:v>
      </x:c>
      <x:c r="E57" s="4" t="n">
        <x:f>E56-D56</x:f>
        <x:v>2216.2559999999794</x:v>
      </x:c>
      <x:c r="F57" s="4" t="n">
        <x:f>F56-E56</x:f>
        <x:v>2260.581119999988</x:v>
      </x:c>
      <x:c r="G57" s="4" t="n">
        <x:f>G56-F56</x:f>
        <x:v>2305.7927424000372</x:v>
      </x:c>
      <x:c r="H57" s="4" t="n">
        <x:f>H56-G56</x:f>
        <x:v>2351.908597247966</x:v>
      </x:c>
      <x:c r="I57" s="4" t="n">
        <x:f>I56-H56</x:f>
        <x:v>2398.946769192946</x:v>
      </x:c>
      <x:c r="J57" s="4" t="n">
        <x:f>J56-I56</x:f>
        <x:v>2446.925704576832</x:v>
      </x:c>
      <x:c r="K57" s="4" t="n">
        <x:f>K56-J56</x:f>
        <x:v>2495.8642186683574</x:v>
      </x:c>
      <x:c r="L57" s="4" t="n">
        <x:f>L56-K56</x:f>
        <x:v>2545.781503041726</x:v>
      </x:c>
      <x:c r="M57" s="4" t="n">
        <x:f>M56-L56</x:f>
        <x:v>2596.697133102556</x:v>
      </x:c>
      <x:c r="N57" s="4" t="n">
        <x:f>N56-M56</x:f>
        <x:v>2648.631075764599</x:v>
      </x:c>
    </x:row>
    <x:row r="58" ht="31" customHeight="1">
      <x:c r="A58" s="10" t="str">
        <x:v>Opening debt</x:v>
      </x:c>
      <x:c r="B58" s="4"/>
      <x:c r="C58" s="4" t="n">
        <x:f>$C$19</x:f>
        <x:v>500000</x:v>
      </x:c>
      <x:c r="D58" s="4" t="n">
        <x:f>C61</x:f>
        <x:v>491666.6666666667</x:v>
      </x:c>
      <x:c r="E58" s="4" t="n">
        <x:f>D61</x:f>
        <x:v>483333.3333333334</x:v>
      </x:c>
      <x:c r="F58" s="4" t="n">
        <x:f>E61</x:f>
        <x:v>475000.00000000006</x:v>
      </x:c>
      <x:c r="G58" s="4" t="n">
        <x:f>F61</x:f>
        <x:v>466666.66666666674</x:v>
      </x:c>
      <x:c r="H58" s="4" t="n">
        <x:f>G61</x:f>
        <x:v>458333.33333333343</x:v>
      </x:c>
      <x:c r="I58" s="4" t="n">
        <x:f>H61</x:f>
        <x:v>450000.0000000001</x:v>
      </x:c>
      <x:c r="J58" s="4" t="n">
        <x:f>I61</x:f>
        <x:v>441666.6666666668</x:v>
      </x:c>
      <x:c r="K58" s="4" t="n">
        <x:f>J61</x:f>
        <x:v>433333.3333333335</x:v>
      </x:c>
      <x:c r="L58" s="4" t="n">
        <x:f>K61</x:f>
        <x:v>425000.0000000002</x:v>
      </x:c>
      <x:c r="M58" s="4" t="n">
        <x:f>L61</x:f>
        <x:v>416666.66666666686</x:v>
      </x:c>
      <x:c r="N58" s="4" t="n">
        <x:f>M61</x:f>
        <x:v>408333.33333333355</x:v>
      </x:c>
    </x:row>
    <x:row r="59" ht="31" customHeight="1">
      <x:c r="A59" s="10" t="str">
        <x:v>Interest cash</x:v>
      </x:c>
      <x:c r="B59" s="4"/>
      <x:c r="C59" s="4" t="n">
        <x:f>C58*$C$20/$C$30</x:f>
        <x:v>5000</x:v>
      </x:c>
      <x:c r="D59" s="4" t="n">
        <x:f>D58*$C$20/$C$30</x:f>
        <x:v>4916.666666666667</x:v>
      </x:c>
      <x:c r="E59" s="4" t="n">
        <x:f>E58*$C$20/$C$30</x:f>
        <x:v>4833.333333333333</x:v>
      </x:c>
      <x:c r="F59" s="4" t="n">
        <x:f>F58*$C$20/$C$30</x:f>
        <x:v>4750.000000000001</x:v>
      </x:c>
      <x:c r="G59" s="4" t="n">
        <x:f>G58*$C$20/$C$30</x:f>
        <x:v>4666.666666666667</x:v>
      </x:c>
      <x:c r="H59" s="4" t="n">
        <x:f>H58*$C$20/$C$30</x:f>
        <x:v>4583.333333333334</x:v>
      </x:c>
      <x:c r="I59" s="4" t="n">
        <x:f>I58*$C$20/$C$30</x:f>
        <x:v>4500.000000000001</x:v>
      </x:c>
      <x:c r="J59" s="4" t="n">
        <x:f>J58*$C$20/$C$30</x:f>
        <x:v>4416.666666666668</x:v>
      </x:c>
      <x:c r="K59" s="4" t="n">
        <x:f>K58*$C$20/$C$30</x:f>
        <x:v>4333.333333333335</x:v>
      </x:c>
      <x:c r="L59" s="4" t="n">
        <x:f>L58*$C$20/$C$30</x:f>
        <x:v>4250.000000000002</x:v>
      </x:c>
      <x:c r="M59" s="4" t="n">
        <x:f>M58*$C$20/$C$30</x:f>
        <x:v>4166.666666666669</x:v>
      </x:c>
      <x:c r="N59" s="4" t="n">
        <x:f>N58*$C$20/$C$30</x:f>
        <x:v>4083.3333333333353</x:v>
      </x:c>
    </x:row>
    <x:row r="60" ht="31" customHeight="1">
      <x:c r="A60" s="10" t="str">
        <x:v>Principal repayment</x:v>
      </x:c>
      <x:c r="B60" s="4"/>
      <x:c r="C60" s="4" t="n">
        <x:f>MIN(C58,$C$19/$C$21)</x:f>
        <x:v>8333.333333333334</x:v>
      </x:c>
      <x:c r="D60" s="4" t="n">
        <x:f>MIN(D58,$C$19/$C$21)</x:f>
        <x:v>8333.333333333334</x:v>
      </x:c>
      <x:c r="E60" s="4" t="n">
        <x:f>MIN(E58,$C$19/$C$21)</x:f>
        <x:v>8333.333333333334</x:v>
      </x:c>
      <x:c r="F60" s="4" t="n">
        <x:f>MIN(F58,$C$19/$C$21)</x:f>
        <x:v>8333.333333333334</x:v>
      </x:c>
      <x:c r="G60" s="4" t="n">
        <x:f>MIN(G58,$C$19/$C$21)</x:f>
        <x:v>8333.333333333334</x:v>
      </x:c>
      <x:c r="H60" s="4" t="n">
        <x:f>MIN(H58,$C$19/$C$21)</x:f>
        <x:v>8333.333333333334</x:v>
      </x:c>
      <x:c r="I60" s="4" t="n">
        <x:f>MIN(I58,$C$19/$C$21)</x:f>
        <x:v>8333.333333333334</x:v>
      </x:c>
      <x:c r="J60" s="4" t="n">
        <x:f>MIN(J58,$C$19/$C$21)</x:f>
        <x:v>8333.333333333334</x:v>
      </x:c>
      <x:c r="K60" s="4" t="n">
        <x:f>MIN(K58,$C$19/$C$21)</x:f>
        <x:v>8333.333333333334</x:v>
      </x:c>
      <x:c r="L60" s="4" t="n">
        <x:f>MIN(L58,$C$19/$C$21)</x:f>
        <x:v>8333.333333333334</x:v>
      </x:c>
      <x:c r="M60" s="4" t="n">
        <x:f>MIN(M58,$C$19/$C$21)</x:f>
        <x:v>8333.333333333334</x:v>
      </x:c>
      <x:c r="N60" s="4" t="n">
        <x:f>MIN(N58,$C$19/$C$21)</x:f>
        <x:v>8333.333333333334</x:v>
      </x:c>
    </x:row>
    <x:row r="61" ht="31" customHeight="1">
      <x:c r="A61" s="10" t="str">
        <x:v>Closing debt</x:v>
      </x:c>
      <x:c r="B61" s="4"/>
      <x:c r="C61" s="4" t="n">
        <x:f>C58-C60</x:f>
        <x:v>491666.6666666667</x:v>
      </x:c>
      <x:c r="D61" s="4" t="n">
        <x:f>D58-D60</x:f>
        <x:v>483333.3333333334</x:v>
      </x:c>
      <x:c r="E61" s="4" t="n">
        <x:f>E58-E60</x:f>
        <x:v>475000.00000000006</x:v>
      </x:c>
      <x:c r="F61" s="4" t="n">
        <x:f>F58-F60</x:f>
        <x:v>466666.66666666674</x:v>
      </x:c>
      <x:c r="G61" s="4" t="n">
        <x:f>G58-G60</x:f>
        <x:v>458333.33333333343</x:v>
      </x:c>
      <x:c r="H61" s="4" t="n">
        <x:f>H58-H60</x:f>
        <x:v>450000.0000000001</x:v>
      </x:c>
      <x:c r="I61" s="4" t="n">
        <x:f>I58-I60</x:f>
        <x:v>441666.6666666668</x:v>
      </x:c>
      <x:c r="J61" s="4" t="n">
        <x:f>J58-J60</x:f>
        <x:v>433333.3333333335</x:v>
      </x:c>
      <x:c r="K61" s="4" t="n">
        <x:f>K58-K60</x:f>
        <x:v>425000.0000000002</x:v>
      </x:c>
      <x:c r="L61" s="4" t="n">
        <x:f>L58-L60</x:f>
        <x:v>416666.66666666686</x:v>
      </x:c>
      <x:c r="M61" s="4" t="n">
        <x:f>M58-M60</x:f>
        <x:v>408333.33333333355</x:v>
      </x:c>
      <x:c r="N61" s="4" t="n">
        <x:f>N58-N60</x:f>
        <x:v>400000.00000000023</x:v>
      </x:c>
    </x:row>
    <x:row r="62" ht="31" customHeight="1">
      <x:c r="A62" s="10" t="str">
        <x:v>Maintenance capital spend</x:v>
      </x:c>
      <x:c r="B62" s="4"/>
      <x:c r="C62" s="4" t="n">
        <x:f>$C$22</x:f>
        <x:v>3600</x:v>
      </x:c>
      <x:c r="D62" s="4" t="n">
        <x:f>$C$22</x:f>
        <x:v>3600</x:v>
      </x:c>
      <x:c r="E62" s="4" t="n">
        <x:f>$C$22</x:f>
        <x:v>3600</x:v>
      </x:c>
      <x:c r="F62" s="4" t="n">
        <x:f>$C$22</x:f>
        <x:v>3600</x:v>
      </x:c>
      <x:c r="G62" s="4" t="n">
        <x:f>$C$22</x:f>
        <x:v>3600</x:v>
      </x:c>
      <x:c r="H62" s="4" t="n">
        <x:f>$C$22</x:f>
        <x:v>3600</x:v>
      </x:c>
      <x:c r="I62" s="4" t="n">
        <x:f>$C$22</x:f>
        <x:v>3600</x:v>
      </x:c>
      <x:c r="J62" s="4" t="n">
        <x:f>$C$22</x:f>
        <x:v>3600</x:v>
      </x:c>
      <x:c r="K62" s="4" t="n">
        <x:f>$C$22</x:f>
        <x:v>3600</x:v>
      </x:c>
      <x:c r="L62" s="4" t="n">
        <x:f>$C$22</x:f>
        <x:v>3600</x:v>
      </x:c>
      <x:c r="M62" s="4" t="n">
        <x:f>$C$22</x:f>
        <x:v>3600</x:v>
      </x:c>
      <x:c r="N62" s="4" t="n">
        <x:f>$C$22</x:f>
        <x:v>3600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32426.666666666664</x:v>
      </x:c>
      <x:c r="D66" s="22" t="n">
        <x:f>D50-D57-SUM(D59:D60)-SUM(D62:D65)</x:f>
        <x:v>148427.20000000004</x:v>
      </x:c>
      <x:c r="E66" s="22" t="n">
        <x:f>E50-E57-SUM(E59:E60)-SUM(E62:E65)</x:f>
        <x:v>158124.94733333352</x:v>
      </x:c>
      <x:c r="F66" s="22" t="n">
        <x:f>F50-F57-SUM(F59:F60)-SUM(F62:F65)</x:f>
        <x:v>168033.90955666683</x:v>
      </x:c>
      <x:c r="G66" s="22" t="n">
        <x:f>G50-G57-SUM(G59:G60)-SUM(G62:G65)</x:f>
        <x:v>178158.36774763017</x:v>
      </x:c>
      <x:c r="H66" s="22" t="n">
        <x:f>H50-H57-SUM(H59:H60)-SUM(H62:H65)</x:f>
        <x:v>188502.68877574566</x:v>
      </x:c>
      <x:c r="I66" s="22" t="n">
        <x:f>I50-I57-SUM(I59:I60)-SUM(I62:I65)</x:f>
        <x:v>199071.3270187763</x:v>
      </x:c>
      <x:c r="J66" s="22" t="n">
        <x:f>J50-J57-SUM(J59:J60)-SUM(J62:J65)</x:f>
        <x:v>209868.8261134032</x:v>
      </x:c>
      <x:c r="K66" s="22" t="n">
        <x:f>K50-K57-SUM(K59:K60)-SUM(K62:K65)</x:f>
        <x:v>220899.82074091907</x:v>
      </x:c>
      <x:c r="L66" s="22" t="n">
        <x:f>L50-L57-SUM(L59:L60)-SUM(L62:L65)</x:f>
        <x:v>232169.03844863406</x:v>
      </x:c>
      <x:c r="M66" s="22" t="n">
        <x:f>M50-M57-SUM(M59:M60)-SUM(M62:M65)</x:f>
        <x:v>243681.30150771554</x:v>
      </x:c>
      <x:c r="N66" s="22" t="n">
        <x:f>N50-N57-SUM(N59:N60)-SUM(N62:N65)</x:f>
        <x:v>255441.5288081822</x:v>
      </x:c>
    </x:row>
    <x:row r="67" ht="31" customHeight="1">
      <x:c r="A67" s="10" t="str">
        <x:v>Opening cash</x:v>
      </x:c>
      <x:c r="B67" s="4"/>
      <x:c r="C67" s="4" t="n">
        <x:f>$C$15</x:f>
        <x:v>1200000</x:v>
      </x:c>
      <x:c r="D67" s="4" t="n">
        <x:f>C68</x:f>
        <x:v>1232426.6666666667</x:v>
      </x:c>
      <x:c r="E67" s="4" t="n">
        <x:f>D68</x:f>
        <x:v>1380853.8666666667</x:v>
      </x:c>
      <x:c r="F67" s="4" t="n">
        <x:f>E68</x:f>
        <x:v>1538978.8140000002</x:v>
      </x:c>
      <x:c r="G67" s="4" t="n">
        <x:f>F68</x:f>
        <x:v>1707012.723556667</x:v>
      </x:c>
      <x:c r="H67" s="4" t="n">
        <x:f>G68</x:f>
        <x:v>1885171.0913042973</x:v>
      </x:c>
      <x:c r="I67" s="4" t="n">
        <x:f>H68</x:f>
        <x:v>2073673.780080043</x:v>
      </x:c>
      <x:c r="J67" s="4" t="n">
        <x:f>I68</x:f>
        <x:v>2272745.107098819</x:v>
      </x:c>
      <x:c r="K67" s="4" t="n">
        <x:f>J68</x:f>
        <x:v>2482613.9332122225</x:v>
      </x:c>
      <x:c r="L67" s="4" t="n">
        <x:f>K68</x:f>
        <x:v>2703513.7539531416</x:v>
      </x:c>
      <x:c r="M67" s="4" t="n">
        <x:f>L68</x:f>
        <x:v>2935682.7924017757</x:v>
      </x:c>
      <x:c r="N67" s="4" t="n">
        <x:f>M68</x:f>
        <x:v>3179364.0939094913</x:v>
      </x:c>
    </x:row>
    <x:row r="68" ht="31" customHeight="1">
      <x:c r="A68" s="23" t="str">
        <x:v>Closing cash</x:v>
      </x:c>
      <x:c r="B68" s="22"/>
      <x:c r="C68" s="22" t="n">
        <x:f>C67+C66</x:f>
        <x:v>1232426.6666666667</x:v>
      </x:c>
      <x:c r="D68" s="22" t="n">
        <x:f>D67+D66</x:f>
        <x:v>1380853.8666666667</x:v>
      </x:c>
      <x:c r="E68" s="22" t="n">
        <x:f>E67+E66</x:f>
        <x:v>1538978.8140000002</x:v>
      </x:c>
      <x:c r="F68" s="22" t="n">
        <x:f>F67+F66</x:f>
        <x:v>1707012.723556667</x:v>
      </x:c>
      <x:c r="G68" s="22" t="n">
        <x:f>G67+G66</x:f>
        <x:v>1885171.0913042973</x:v>
      </x:c>
      <x:c r="H68" s="22" t="n">
        <x:f>H67+H66</x:f>
        <x:v>2073673.780080043</x:v>
      </x:c>
      <x:c r="I68" s="22" t="n">
        <x:f>I67+I66</x:f>
        <x:v>2272745.107098819</x:v>
      </x:c>
      <x:c r="J68" s="22" t="n">
        <x:f>J67+J66</x:f>
        <x:v>2482613.9332122225</x:v>
      </x:c>
      <x:c r="K68" s="22" t="n">
        <x:f>K67+K66</x:f>
        <x:v>2703513.7539531416</x:v>
      </x:c>
      <x:c r="L68" s="22" t="n">
        <x:f>L67+L66</x:f>
        <x:v>2935682.7924017757</x:v>
      </x:c>
      <x:c r="M68" s="22" t="n">
        <x:f>M67+M66</x:f>
        <x:v>3179364.0939094913</x:v>
      </x:c>
      <x:c r="N68" s="22" t="n">
        <x:f>N67+N66</x:f>
        <x:v>3434805.6227176734</x:v>
      </x:c>
    </x:row>
    <x:row r="69" ht="31" customHeight="1">
      <x:c r="A69" s="10" t="str">
        <x:v>Cash-buffer shortfall</x:v>
      </x:c>
      <x:c r="B69" s="4"/>
      <x:c r="C69" s="4" t="n">
        <x:f>MAX(0,$C$15-C68)</x:f>
        <x:v>0</x:v>
      </x:c>
      <x:c r="D69" s="4" t="n">
        <x:f>MAX(0,$C$15-D68)</x:f>
        <x:v>0</x:v>
      </x:c>
      <x:c r="E69" s="4" t="n">
        <x:f>MAX(0,$C$15-E68)</x:f>
        <x:v>0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11.85</x:v>
      </x:c>
      <x:c r="D70" s="30" t="n">
        <x:f>IF(SUM(D59:D60)&gt;0,D50/SUM(D59:D60),"No debt")</x:f>
        <x:v>12.637735849056607</x:v>
      </x:c>
      <x:c r="E70" s="30" t="n">
        <x:f>IF(SUM(E59:E60)&gt;0,E50/SUM(E59:E60),"No debt")</x:f>
        <x:v>13.451230632911404</x:v>
      </x:c>
      <x:c r="F70" s="30" t="n">
        <x:f>IF(SUM(F59:F60)&gt;0,F50/SUM(F59:F60),"No debt")</x:f>
        <x:v>14.291298650445869</x:v>
      </x:c>
      <x:c r="G70" s="30" t="n">
        <x:f>IF(SUM(G59:G60)&gt;0,G50/SUM(G59:G60),"No debt")</x:f>
        <x:v>15.15878157615617</x:v>
      </x:c>
      <x:c r="H70" s="30" t="n">
        <x:f>IF(SUM(H59:H60)&gt;0,H50/SUM(H59:H60),"No debt")</x:f>
        <x:v>16.054549474038215</x:v>
      </x:c>
      <x:c r="I70" s="30" t="n">
        <x:f>IF(SUM(I59:I60)&gt;0,I50/SUM(I59:I60),"No debt")</x:f>
        <x:v>16.97950185360799</x:v>
      </x:c>
      <x:c r="J70" s="30" t="n">
        <x:f>IF(SUM(J59:J60)&gt;0,J50/SUM(J59:J60),"No debt")</x:f>
        <x:v>17.934568770037647</x:v>
      </x:c>
      <x:c r="K70" s="30" t="n">
        <x:f>IF(SUM(K59:K60)&gt;0,K50/SUM(K59:K60),"No debt")</x:f>
        <x:v>18.92071197049374</x:v>
      </x:c>
      <x:c r="L70" s="30" t="n">
        <x:f>IF(SUM(L59:L60)&gt;0,L50/SUM(L59:L60),"No debt")</x:f>
        <x:v>19.938926088874894</x:v>
      </x:c>
      <x:c r="M70" s="30" t="n">
        <x:f>IF(SUM(M59:M60)&gt;0,M50/SUM(M59:M60),"No debt")</x:f>
        <x:v>20.990239891265443</x:v>
      </x:c>
      <x:c r="N70" s="30" t="n">
        <x:f>IF(SUM(N59:N60)&gt;0,N50/SUM(N59:N60),"No debt")</x:f>
        <x:v>22.075717574546044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0.8</x:v>
      </x:c>
      <x:c r="D71" s="20" t="n">
        <x:f>IF($C$10&gt;0,D43/$C$10,0)</x:f>
        <x:v>0.8160000000000001</x:v>
      </x:c>
      <x:c r="E71" s="20" t="n">
        <x:f>IF($C$10&gt;0,E43/$C$10,0)</x:f>
        <x:v>0.83232</x:v>
      </x:c>
      <x:c r="F71" s="20" t="n">
        <x:f>IF($C$10&gt;0,F43/$C$10,0)</x:f>
        <x:v>0.8489663999999999</x:v>
      </x:c>
      <x:c r="G71" s="20" t="n">
        <x:f>IF($C$10&gt;0,G43/$C$10,0)</x:f>
        <x:v>0.865945728</x:v>
      </x:c>
      <x:c r="H71" s="20" t="n">
        <x:f>IF($C$10&gt;0,H43/$C$10,0)</x:f>
        <x:v>0.88326464256</x:v>
      </x:c>
      <x:c r="I71" s="20" t="n">
        <x:f>IF($C$10&gt;0,I43/$C$10,0)</x:f>
        <x:v>0.9009299354112</x:v>
      </x:c>
      <x:c r="J71" s="20" t="n">
        <x:f>IF($C$10&gt;0,J43/$C$10,0)</x:f>
        <x:v>0.9189485341194239</x:v>
      </x:c>
      <x:c r="K71" s="20" t="n">
        <x:f>IF($C$10&gt;0,K43/$C$10,0)</x:f>
        <x:v>0.9373275048018124</x:v>
      </x:c>
      <x:c r="L71" s="20" t="n">
        <x:f>IF($C$10&gt;0,L43/$C$10,0)</x:f>
        <x:v>0.9560740548978487</x:v>
      </x:c>
      <x:c r="M71" s="20" t="n">
        <x:f>IF($C$10&gt;0,M43/$C$10,0)</x:f>
        <x:v>0.9751955359958057</x:v>
      </x:c>
      <x:c r="N71" s="20" t="n">
        <x:f>IF($C$10&gt;0,N43/$C$10,0)</x:f>
        <x:v>0.9946994467157216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8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7dbc361d70434306"/>
</x:worksheet>
</file>

<file path=xl/worksheets/sheet10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Coaching, Tuition &amp; EdTech Centre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280</x:v>
      </x:c>
      <x:c r="D6" s="10" t="str">
        <x:v>active learner-months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1344000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4800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238000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850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3950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680000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1106000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450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426000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0.8229166666666666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172.15189873417722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1400000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826329.1139240507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500000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0.6222222222222222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1500000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3600000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10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3100000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3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10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1075200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500000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865760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185760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1344000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2800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18025848.594603043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6537775.707332327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7343937.351973831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1503120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280</x:v>
      </x:c>
      <x:c r="D43" s="4" t="n">
        <x:f>MIN($C$10,$C$6*(1+$C$11)^1)</x:f>
        <x:v>285.6</x:v>
      </x:c>
      <x:c r="E43" s="4" t="n">
        <x:f>MIN($C$10,$C$6*(1+$C$11)^2)</x:f>
        <x:v>291.312</x:v>
      </x:c>
      <x:c r="F43" s="4" t="n">
        <x:f>MIN($C$10,$C$6*(1+$C$11)^3)</x:f>
        <x:v>297.13824</x:v>
      </x:c>
      <x:c r="G43" s="4" t="n">
        <x:f>MIN($C$10,$C$6*(1+$C$11)^4)</x:f>
        <x:v>303.0810048</x:v>
      </x:c>
      <x:c r="H43" s="4" t="n">
        <x:f>MIN($C$10,$C$6*(1+$C$11)^5)</x:f>
        <x:v>309.14262489600003</x:v>
      </x:c>
      <x:c r="I43" s="4" t="n">
        <x:f>MIN($C$10,$C$6*(1+$C$11)^6)</x:f>
        <x:v>315.32547739392004</x:v>
      </x:c>
      <x:c r="J43" s="4" t="n">
        <x:f>MIN($C$10,$C$6*(1+$C$11)^7)</x:f>
        <x:v>321.63198694179835</x:v>
      </x:c>
      <x:c r="K43" s="4" t="n">
        <x:f>MIN($C$10,$C$6*(1+$C$11)^8)</x:f>
        <x:v>328.0646266806343</x:v>
      </x:c>
      <x:c r="L43" s="4" t="n">
        <x:f>MIN($C$10,$C$6*(1+$C$11)^9)</x:f>
        <x:v>334.625919214247</x:v>
      </x:c>
      <x:c r="M43" s="4" t="n">
        <x:f>MIN($C$10,$C$6*(1+$C$11)^10)</x:f>
        <x:v>341.318437598532</x:v>
      </x:c>
      <x:c r="N43" s="4" t="n">
        <x:f>MIN($C$10,$C$6*(1+$C$11)^11)</x:f>
        <x:v>348.14480635050256</x:v>
      </x:c>
    </x:row>
    <x:row r="44" ht="31" customHeight="1">
      <x:c r="A44" s="10" t="str">
        <x:v>Net unit price</x:v>
      </x:c>
      <x:c r="B44" s="4"/>
      <x:c r="C44" s="4" t="n">
        <x:f>$C$7*(1+$C$34)^0</x:f>
        <x:v>4800</x:v>
      </x:c>
      <x:c r="D44" s="4" t="n">
        <x:f>$C$7*(1+$C$34)^1</x:f>
        <x:v>4800</x:v>
      </x:c>
      <x:c r="E44" s="4" t="n">
        <x:f>$C$7*(1+$C$34)^2</x:f>
        <x:v>4800</x:v>
      </x:c>
      <x:c r="F44" s="4" t="n">
        <x:f>$C$7*(1+$C$34)^3</x:f>
        <x:v>4800</x:v>
      </x:c>
      <x:c r="G44" s="4" t="n">
        <x:f>$C$7*(1+$C$34)^4</x:f>
        <x:v>4800</x:v>
      </x:c>
      <x:c r="H44" s="4" t="n">
        <x:f>$C$7*(1+$C$34)^5</x:f>
        <x:v>4800</x:v>
      </x:c>
      <x:c r="I44" s="4" t="n">
        <x:f>$C$7*(1+$C$34)^6</x:f>
        <x:v>4800</x:v>
      </x:c>
      <x:c r="J44" s="4" t="n">
        <x:f>$C$7*(1+$C$34)^7</x:f>
        <x:v>4800</x:v>
      </x:c>
      <x:c r="K44" s="4" t="n">
        <x:f>$C$7*(1+$C$34)^8</x:f>
        <x:v>4800</x:v>
      </x:c>
      <x:c r="L44" s="4" t="n">
        <x:f>$C$7*(1+$C$34)^9</x:f>
        <x:v>4800</x:v>
      </x:c>
      <x:c r="M44" s="4" t="n">
        <x:f>$C$7*(1+$C$34)^10</x:f>
        <x:v>4800</x:v>
      </x:c>
      <x:c r="N44" s="4" t="n">
        <x:f>$C$7*(1+$C$34)^11</x:f>
        <x:v>4800</x:v>
      </x:c>
    </x:row>
    <x:row r="45" ht="31" customHeight="1">
      <x:c r="A45" s="23" t="str">
        <x:v>Net revenue</x:v>
      </x:c>
      <x:c r="B45" s="22"/>
      <x:c r="C45" s="22" t="n">
        <x:f>C43*C44</x:f>
        <x:v>1344000</x:v>
      </x:c>
      <x:c r="D45" s="22" t="n">
        <x:f>D43*D44</x:f>
        <x:v>1370880</x:v>
      </x:c>
      <x:c r="E45" s="22" t="n">
        <x:f>E43*E44</x:f>
        <x:v>1398297.6</x:v>
      </x:c>
      <x:c r="F45" s="22" t="n">
        <x:f>F43*F44</x:f>
        <x:v>1426263.552</x:v>
      </x:c>
      <x:c r="G45" s="22" t="n">
        <x:f>G43*G44</x:f>
        <x:v>1454788.8230400002</x:v>
      </x:c>
      <x:c r="H45" s="22" t="n">
        <x:f>H43*H44</x:f>
        <x:v>1483884.5995008003</x:v>
      </x:c>
      <x:c r="I45" s="22" t="n">
        <x:f>I43*I44</x:f>
        <x:v>1513562.2914908163</x:v>
      </x:c>
      <x:c r="J45" s="22" t="n">
        <x:f>J43*J44</x:f>
        <x:v>1543833.537320632</x:v>
      </x:c>
      <x:c r="K45" s="22" t="n">
        <x:f>K43*K44</x:f>
        <x:v>1574710.2080670446</x:v>
      </x:c>
      <x:c r="L45" s="22" t="n">
        <x:f>L43*L44</x:f>
        <x:v>1606204.4122283857</x:v>
      </x:c>
      <x:c r="M45" s="22" t="n">
        <x:f>M43*M44</x:f>
        <x:v>1638328.5004729535</x:v>
      </x:c>
      <x:c r="N45" s="22" t="n">
        <x:f>N43*N44</x:f>
        <x:v>1671095.0704824124</x:v>
      </x:c>
    </x:row>
    <x:row r="46" ht="31" customHeight="1">
      <x:c r="A46" s="10" t="str">
        <x:v>Variable cost per unit</x:v>
      </x:c>
      <x:c r="B46" s="4"/>
      <x:c r="C46" s="4" t="n">
        <x:f>$C$8</x:f>
        <x:v>850</x:v>
      </x:c>
      <x:c r="D46" s="4" t="n">
        <x:f>$C$8</x:f>
        <x:v>850</x:v>
      </x:c>
      <x:c r="E46" s="4" t="n">
        <x:f>$C$8</x:f>
        <x:v>850</x:v>
      </x:c>
      <x:c r="F46" s="4" t="n">
        <x:f>$C$8</x:f>
        <x:v>850</x:v>
      </x:c>
      <x:c r="G46" s="4" t="n">
        <x:f>$C$8</x:f>
        <x:v>850</x:v>
      </x:c>
      <x:c r="H46" s="4" t="n">
        <x:f>$C$8</x:f>
        <x:v>850</x:v>
      </x:c>
      <x:c r="I46" s="4" t="n">
        <x:f>$C$8</x:f>
        <x:v>850</x:v>
      </x:c>
      <x:c r="J46" s="4" t="n">
        <x:f>$C$8</x:f>
        <x:v>850</x:v>
      </x:c>
      <x:c r="K46" s="4" t="n">
        <x:f>$C$8</x:f>
        <x:v>850</x:v>
      </x:c>
      <x:c r="L46" s="4" t="n">
        <x:f>$C$8</x:f>
        <x:v>850</x:v>
      </x:c>
      <x:c r="M46" s="4" t="n">
        <x:f>$C$8</x:f>
        <x:v>850</x:v>
      </x:c>
      <x:c r="N46" s="4" t="n">
        <x:f>$C$8</x:f>
        <x:v>850</x:v>
      </x:c>
    </x:row>
    <x:row r="47" ht="31" customHeight="1">
      <x:c r="A47" s="10" t="str">
        <x:v>Variable cash cost</x:v>
      </x:c>
      <x:c r="B47" s="4"/>
      <x:c r="C47" s="4" t="n">
        <x:f>C43*C46</x:f>
        <x:v>238000</x:v>
      </x:c>
      <x:c r="D47" s="4" t="n">
        <x:f>D43*D46</x:f>
        <x:v>242760.00000000003</x:v>
      </x:c>
      <x:c r="E47" s="4" t="n">
        <x:f>E43*E46</x:f>
        <x:v>247615.2</x:v>
      </x:c>
      <x:c r="F47" s="4" t="n">
        <x:f>F43*F46</x:f>
        <x:v>252567.504</x:v>
      </x:c>
      <x:c r="G47" s="4" t="n">
        <x:f>G43*G46</x:f>
        <x:v>257618.85408000002</x:v>
      </x:c>
      <x:c r="H47" s="4" t="n">
        <x:f>H43*H46</x:f>
        <x:v>262771.23116160004</x:v>
      </x:c>
      <x:c r="I47" s="4" t="n">
        <x:f>I43*I46</x:f>
        <x:v>268026.655784832</x:v>
      </x:c>
      <x:c r="J47" s="4" t="n">
        <x:f>J43*J46</x:f>
        <x:v>273387.1889005286</x:v>
      </x:c>
      <x:c r="K47" s="4" t="n">
        <x:f>K43*K46</x:f>
        <x:v>278854.9326785392</x:v>
      </x:c>
      <x:c r="L47" s="4" t="n">
        <x:f>L43*L46</x:f>
        <x:v>284432.03133210994</x:v>
      </x:c>
      <x:c r="M47" s="4" t="n">
        <x:f>M43*M46</x:f>
        <x:v>290120.6719587522</x:v>
      </x:c>
      <x:c r="N47" s="4" t="n">
        <x:f>N43*N46</x:f>
        <x:v>295923.0853979272</x:v>
      </x:c>
    </x:row>
    <x:row r="48" ht="31" customHeight="1">
      <x:c r="A48" s="10" t="str">
        <x:v>Contribution</x:v>
      </x:c>
      <x:c r="B48" s="4"/>
      <x:c r="C48" s="4" t="n">
        <x:f>C45-C47</x:f>
        <x:v>1106000</x:v>
      </x:c>
      <x:c r="D48" s="4" t="n">
        <x:f>D45-D47</x:f>
        <x:v>1128120</x:v>
      </x:c>
      <x:c r="E48" s="4" t="n">
        <x:f>E45-E47</x:f>
        <x:v>1150682.4000000001</x:v>
      </x:c>
      <x:c r="F48" s="4" t="n">
        <x:f>F45-F47</x:f>
        <x:v>1173696.048</x:v>
      </x:c>
      <x:c r="G48" s="4" t="n">
        <x:f>G45-G47</x:f>
        <x:v>1197169.9689600002</x:v>
      </x:c>
      <x:c r="H48" s="4" t="n">
        <x:f>H45-H47</x:f>
        <x:v>1221113.3683392003</x:v>
      </x:c>
      <x:c r="I48" s="4" t="n">
        <x:f>I45-I47</x:f>
        <x:v>1245535.6357059842</x:v>
      </x:c>
      <x:c r="J48" s="4" t="n">
        <x:f>J45-J47</x:f>
        <x:v>1270446.3484201035</x:v>
      </x:c>
      <x:c r="K48" s="4" t="n">
        <x:f>K45-K47</x:f>
        <x:v>1295855.2753885053</x:v>
      </x:c>
      <x:c r="L48" s="4" t="n">
        <x:f>L45-L47</x:f>
        <x:v>1321772.3808962759</x:v>
      </x:c>
      <x:c r="M48" s="4" t="n">
        <x:f>M45-M47</x:f>
        <x:v>1348207.8285142013</x:v>
      </x:c>
      <x:c r="N48" s="4" t="n">
        <x:f>N45-N47</x:f>
        <x:v>1375171.9850844853</x:v>
      </x:c>
    </x:row>
    <x:row r="49" ht="31" customHeight="1">
      <x:c r="A49" s="10" t="str">
        <x:v>Fixed cash costs</x:v>
      </x:c>
      <x:c r="B49" s="4"/>
      <x:c r="C49" s="4" t="n">
        <x:f>$C$9*(1+$C$12)^0</x:f>
        <x:v>680000</x:v>
      </x:c>
      <x:c r="D49" s="4" t="n">
        <x:f>$C$9*(1+$C$12)^1</x:f>
        <x:v>682039.9999999999</x:v>
      </x:c>
      <x:c r="E49" s="4" t="n">
        <x:f>$C$9*(1+$C$12)^2</x:f>
        <x:v>684086.1199999998</x:v>
      </x:c>
      <x:c r="F49" s="4" t="n">
        <x:f>$C$9*(1+$C$12)^3</x:f>
        <x:v>686138.3783599997</x:v>
      </x:c>
      <x:c r="G49" s="4" t="n">
        <x:f>$C$9*(1+$C$12)^4</x:f>
        <x:v>688196.7934950796</x:v>
      </x:c>
      <x:c r="H49" s="4" t="n">
        <x:f>$C$9*(1+$C$12)^5</x:f>
        <x:v>690261.3838755649</x:v>
      </x:c>
      <x:c r="I49" s="4" t="n">
        <x:f>$C$9*(1+$C$12)^6</x:f>
        <x:v>692332.1680271913</x:v>
      </x:c>
      <x:c r="J49" s="4" t="n">
        <x:f>$C$9*(1+$C$12)^7</x:f>
        <x:v>694409.1645312728</x:v>
      </x:c>
      <x:c r="K49" s="4" t="n">
        <x:f>$C$9*(1+$C$12)^8</x:f>
        <x:v>696492.3920248667</x:v>
      </x:c>
      <x:c r="L49" s="4" t="n">
        <x:f>$C$9*(1+$C$12)^9</x:f>
        <x:v>698581.8692009411</x:v>
      </x:c>
      <x:c r="M49" s="4" t="n">
        <x:f>$C$9*(1+$C$12)^10</x:f>
        <x:v>700677.6148085438</x:v>
      </x:c>
      <x:c r="N49" s="4" t="n">
        <x:f>$C$9*(1+$C$12)^11</x:f>
        <x:v>702779.6476529695</x:v>
      </x:c>
    </x:row>
    <x:row r="50" ht="31" customHeight="1">
      <x:c r="A50" s="23" t="str">
        <x:v>Operating cash profit (EBITDA)</x:v>
      </x:c>
      <x:c r="B50" s="22"/>
      <x:c r="C50" s="22" t="n">
        <x:f>C48-C49</x:f>
        <x:v>426000</x:v>
      </x:c>
      <x:c r="D50" s="22" t="n">
        <x:f>D48-D49</x:f>
        <x:v>446080.0000000001</x:v>
      </x:c>
      <x:c r="E50" s="22" t="n">
        <x:f>E48-E49</x:f>
        <x:v>466596.2800000004</x:v>
      </x:c>
      <x:c r="F50" s="22" t="n">
        <x:f>F48-F49</x:f>
        <x:v>487557.6696400002</x:v>
      </x:c>
      <x:c r="G50" s="22" t="n">
        <x:f>G48-G49</x:f>
        <x:v>508973.1754649206</x:v>
      </x:c>
      <x:c r="H50" s="22" t="n">
        <x:f>H48-H49</x:f>
        <x:v>530851.9844636354</x:v>
      </x:c>
      <x:c r="I50" s="22" t="n">
        <x:f>I48-I49</x:f>
        <x:v>553203.4676787929</x:v>
      </x:c>
      <x:c r="J50" s="22" t="n">
        <x:f>J48-J49</x:f>
        <x:v>576037.1838888307</x:v>
      </x:c>
      <x:c r="K50" s="22" t="n">
        <x:f>K48-K49</x:f>
        <x:v>599362.8833636387</x:v>
      </x:c>
      <x:c r="L50" s="22" t="n">
        <x:f>L48-L49</x:f>
        <x:v>623190.5116953348</x:v>
      </x:c>
      <x:c r="M50" s="22" t="n">
        <x:f>M48-M49</x:f>
        <x:v>647530.2137056575</x:v>
      </x:c>
      <x:c r="N50" s="22" t="n">
        <x:f>N48-N49</x:f>
        <x:v>672392.3374315158</x:v>
      </x:c>
    </x:row>
    <x:row r="51" ht="31" customHeight="1">
      <x:c r="A51" s="10" t="str">
        <x:v>Planning depreciation</x:v>
      </x:c>
      <x:c r="B51" s="4"/>
      <x:c r="C51" s="4" t="n">
        <x:f>$C$13/$C$33/$C$30</x:f>
        <x:v>23333.333333333332</x:v>
      </x:c>
      <x:c r="D51" s="4" t="n">
        <x:f>$C$13/$C$33/$C$30</x:f>
        <x:v>23333.333333333332</x:v>
      </x:c>
      <x:c r="E51" s="4" t="n">
        <x:f>$C$13/$C$33/$C$30</x:f>
        <x:v>23333.333333333332</x:v>
      </x:c>
      <x:c r="F51" s="4" t="n">
        <x:f>$C$13/$C$33/$C$30</x:f>
        <x:v>23333.333333333332</x:v>
      </x:c>
      <x:c r="G51" s="4" t="n">
        <x:f>$C$13/$C$33/$C$30</x:f>
        <x:v>23333.333333333332</x:v>
      </x:c>
      <x:c r="H51" s="4" t="n">
        <x:f>$C$13/$C$33/$C$30</x:f>
        <x:v>23333.333333333332</x:v>
      </x:c>
      <x:c r="I51" s="4" t="n">
        <x:f>$C$13/$C$33/$C$30</x:f>
        <x:v>23333.333333333332</x:v>
      </x:c>
      <x:c r="J51" s="4" t="n">
        <x:f>$C$13/$C$33/$C$30</x:f>
        <x:v>23333.333333333332</x:v>
      </x:c>
      <x:c r="K51" s="4" t="n">
        <x:f>$C$13/$C$33/$C$30</x:f>
        <x:v>23333.333333333332</x:v>
      </x:c>
      <x:c r="L51" s="4" t="n">
        <x:f>$C$13/$C$33/$C$30</x:f>
        <x:v>23333.333333333332</x:v>
      </x:c>
      <x:c r="M51" s="4" t="n">
        <x:f>$C$13/$C$33/$C$30</x:f>
        <x:v>23333.333333333332</x:v>
      </x:c>
      <x:c r="N51" s="4" t="n">
        <x:f>$C$13/$C$33/$C$30</x:f>
        <x:v>23333.333333333332</x:v>
      </x:c>
    </x:row>
    <x:row r="52" ht="31" customHeight="1">
      <x:c r="A52" s="10" t="str">
        <x:v>Operating profit (EBIT)</x:v>
      </x:c>
      <x:c r="B52" s="4"/>
      <x:c r="C52" s="4" t="n">
        <x:f>C50-C51</x:f>
        <x:v>402666.6666666667</x:v>
      </x:c>
      <x:c r="D52" s="4" t="n">
        <x:f>D50-D51</x:f>
        <x:v>422746.6666666668</x:v>
      </x:c>
      <x:c r="E52" s="4" t="n">
        <x:f>E50-E51</x:f>
        <x:v>443262.94666666706</x:v>
      </x:c>
      <x:c r="F52" s="4" t="n">
        <x:f>F50-F51</x:f>
        <x:v>464224.3363066669</x:v>
      </x:c>
      <x:c r="G52" s="4" t="n">
        <x:f>G50-G51</x:f>
        <x:v>485639.84213158727</x:v>
      </x:c>
      <x:c r="H52" s="4" t="n">
        <x:f>H50-H51</x:f>
        <x:v>507518.65113030205</x:v>
      </x:c>
      <x:c r="I52" s="4" t="n">
        <x:f>I50-I51</x:f>
        <x:v>529870.1343454595</x:v>
      </x:c>
      <x:c r="J52" s="4" t="n">
        <x:f>J50-J51</x:f>
        <x:v>552703.8505554973</x:v>
      </x:c>
      <x:c r="K52" s="4" t="n">
        <x:f>K50-K51</x:f>
        <x:v>576029.5500303053</x:v>
      </x:c>
      <x:c r="L52" s="4" t="n">
        <x:f>L50-L51</x:f>
        <x:v>599857.1783620014</x:v>
      </x:c>
      <x:c r="M52" s="4" t="n">
        <x:f>M50-M51</x:f>
        <x:v>624196.8803723241</x:v>
      </x:c>
      <x:c r="N52" s="4" t="n">
        <x:f>N50-N51</x:f>
        <x:v>649059.0040981824</x:v>
      </x:c>
    </x:row>
    <x:row r="53" ht="31" customHeight="1">
      <x:c r="A53" s="10" t="str">
        <x:v>Receivables</x:v>
      </x:c>
      <x:c r="B53" s="4"/>
      <x:c r="C53" s="4" t="n">
        <x:f>C45*$C$16/$C$29</x:f>
        <x:v>448000</x:v>
      </x:c>
      <x:c r="D53" s="4" t="n">
        <x:f>D45*$C$16/$C$29</x:f>
        <x:v>456960</x:v>
      </x:c>
      <x:c r="E53" s="4" t="n">
        <x:f>E45*$C$16/$C$29</x:f>
        <x:v>466099.2</x:v>
      </x:c>
      <x:c r="F53" s="4" t="n">
        <x:f>F45*$C$16/$C$29</x:f>
        <x:v>475421.184</x:v>
      </x:c>
      <x:c r="G53" s="4" t="n">
        <x:f>G45*$C$16/$C$29</x:f>
        <x:v>484929.6076800001</x:v>
      </x:c>
      <x:c r="H53" s="4" t="n">
        <x:f>H45*$C$16/$C$29</x:f>
        <x:v>494628.1998336001</x:v>
      </x:c>
      <x:c r="I53" s="4" t="n">
        <x:f>I45*$C$16/$C$29</x:f>
        <x:v>504520.76383027213</x:v>
      </x:c>
      <x:c r="J53" s="4" t="n">
        <x:f>J45*$C$16/$C$29</x:f>
        <x:v>514611.17910687736</x:v>
      </x:c>
      <x:c r="K53" s="4" t="n">
        <x:f>K45*$C$16/$C$29</x:f>
        <x:v>524903.4026890149</x:v>
      </x:c>
      <x:c r="L53" s="4" t="n">
        <x:f>L45*$C$16/$C$29</x:f>
        <x:v>535401.4707427953</x:v>
      </x:c>
      <x:c r="M53" s="4" t="n">
        <x:f>M45*$C$16/$C$29</x:f>
        <x:v>546109.5001576511</x:v>
      </x:c>
      <x:c r="N53" s="4" t="n">
        <x:f>N45*$C$16/$C$29</x:f>
        <x:v>557031.6901608041</x:v>
      </x:c>
    </x:row>
    <x:row r="54" ht="31" customHeight="1">
      <x:c r="A54" s="10" t="str">
        <x:v>Own inventory</x:v>
      </x:c>
      <x:c r="B54" s="4"/>
      <x:c r="C54" s="4" t="n">
        <x:f>C47*$C$31*$C$17/$C$29</x:f>
        <x:v>14280</x:v>
      </x:c>
      <x:c r="D54" s="4" t="n">
        <x:f>D47*$C$31*$C$17/$C$29</x:f>
        <x:v>14565.6</x:v>
      </x:c>
      <x:c r="E54" s="4" t="n">
        <x:f>E47*$C$31*$C$17/$C$29</x:f>
        <x:v>14856.912</x:v>
      </x:c>
      <x:c r="F54" s="4" t="n">
        <x:f>F47*$C$31*$C$17/$C$29</x:f>
        <x:v>15154.05024</x:v>
      </x:c>
      <x:c r="G54" s="4" t="n">
        <x:f>G47*$C$31*$C$17/$C$29</x:f>
        <x:v>15457.1312448</x:v>
      </x:c>
      <x:c r="H54" s="4" t="n">
        <x:f>H47*$C$31*$C$17/$C$29</x:f>
        <x:v>15766.273869695999</x:v>
      </x:c>
      <x:c r="I54" s="4" t="n">
        <x:f>I47*$C$31*$C$17/$C$29</x:f>
        <x:v>16081.599347089921</x:v>
      </x:c>
      <x:c r="J54" s="4" t="n">
        <x:f>J47*$C$31*$C$17/$C$29</x:f>
        <x:v>16403.231334031716</x:v>
      </x:c>
      <x:c r="K54" s="4" t="n">
        <x:f>K47*$C$31*$C$17/$C$29</x:f>
        <x:v>16731.295960712352</x:v>
      </x:c>
      <x:c r="L54" s="4" t="n">
        <x:f>L47*$C$31*$C$17/$C$29</x:f>
        <x:v>17065.921879926595</x:v>
      </x:c>
      <x:c r="M54" s="4" t="n">
        <x:f>M47*$C$31*$C$17/$C$29</x:f>
        <x:v>17407.24031752513</x:v>
      </x:c>
      <x:c r="N54" s="4" t="n">
        <x:f>N47*$C$31*$C$17/$C$29</x:f>
        <x:v>17755.385123875632</x:v>
      </x:c>
    </x:row>
    <x:row r="55" ht="31" customHeight="1">
      <x:c r="A55" s="10" t="str">
        <x:v>Supplier payables</x:v>
      </x:c>
      <x:c r="B55" s="4"/>
      <x:c r="C55" s="4" t="n">
        <x:f>C47*$C$32*$C$18/$C$29</x:f>
        <x:v>55533.333333333336</x:v>
      </x:c>
      <x:c r="D55" s="4" t="n">
        <x:f>D47*$C$32*$C$18/$C$29</x:f>
        <x:v>56644</x:v>
      </x:c>
      <x:c r="E55" s="4" t="n">
        <x:f>E47*$C$32*$C$18/$C$29</x:f>
        <x:v>57776.88</x:v>
      </x:c>
      <x:c r="F55" s="4" t="n">
        <x:f>F47*$C$32*$C$18/$C$29</x:f>
        <x:v>58932.4176</x:v>
      </x:c>
      <x:c r="G55" s="4" t="n">
        <x:f>G47*$C$32*$C$18/$C$29</x:f>
        <x:v>60111.065952000004</x:v>
      </x:c>
      <x:c r="H55" s="4" t="n">
        <x:f>H47*$C$32*$C$18/$C$29</x:f>
        <x:v>61313.28727104001</x:v>
      </x:c>
      <x:c r="I55" s="4" t="n">
        <x:f>I47*$C$32*$C$18/$C$29</x:f>
        <x:v>62539.553016460806</x:v>
      </x:c>
      <x:c r="J55" s="4" t="n">
        <x:f>J47*$C$32*$C$18/$C$29</x:f>
        <x:v>63790.34407679</x:v>
      </x:c>
      <x:c r="K55" s="4" t="n">
        <x:f>K47*$C$32*$C$18/$C$29</x:f>
        <x:v>65066.15095832581</x:v>
      </x:c>
      <x:c r="L55" s="4" t="n">
        <x:f>L47*$C$32*$C$18/$C$29</x:f>
        <x:v>66367.47397749232</x:v>
      </x:c>
      <x:c r="M55" s="4" t="n">
        <x:f>M47*$C$32*$C$18/$C$29</x:f>
        <x:v>67694.82345704218</x:v>
      </x:c>
      <x:c r="N55" s="4" t="n">
        <x:f>N47*$C$32*$C$18/$C$29</x:f>
        <x:v>69048.71992618302</x:v>
      </x:c>
    </x:row>
    <x:row r="56" ht="31" customHeight="1">
      <x:c r="A56" s="23" t="str">
        <x:v>Net working capital</x:v>
      </x:c>
      <x:c r="B56" s="22"/>
      <x:c r="C56" s="22" t="n">
        <x:f>C53+C54-C55</x:f>
        <x:v>406746.6666666667</x:v>
      </x:c>
      <x:c r="D56" s="22" t="n">
        <x:f>D53+D54-D55</x:f>
        <x:v>414881.6</x:v>
      </x:c>
      <x:c r="E56" s="22" t="n">
        <x:f>E53+E54-E55</x:f>
        <x:v>423179.232</x:v>
      </x:c>
      <x:c r="F56" s="22" t="n">
        <x:f>F53+F54-F55</x:f>
        <x:v>431642.81664000003</x:v>
      </x:c>
      <x:c r="G56" s="22" t="n">
        <x:f>G53+G54-G55</x:f>
        <x:v>440275.6729728001</x:v>
      </x:c>
      <x:c r="H56" s="22" t="n">
        <x:f>H53+H54-H55</x:f>
        <x:v>449081.1864322561</x:v>
      </x:c>
      <x:c r="I56" s="22" t="n">
        <x:f>I53+I54-I55</x:f>
        <x:v>458062.8101609013</x:v>
      </x:c>
      <x:c r="J56" s="22" t="n">
        <x:f>J53+J54-J55</x:f>
        <x:v>467224.06636411906</x:v>
      </x:c>
      <x:c r="K56" s="22" t="n">
        <x:f>K53+K54-K55</x:f>
        <x:v>476568.54769140144</x:v>
      </x:c>
      <x:c r="L56" s="22" t="n">
        <x:f>L53+L54-L55</x:f>
        <x:v>486099.91864522954</x:v>
      </x:c>
      <x:c r="M56" s="22" t="n">
        <x:f>M53+M54-M55</x:f>
        <x:v>495821.9170181341</x:v>
      </x:c>
      <x:c r="N56" s="22" t="n">
        <x:f>N53+N54-N55</x:f>
        <x:v>505738.35535849666</x:v>
      </x:c>
    </x:row>
    <x:row r="57" ht="31" customHeight="1">
      <x:c r="A57" s="10" t="str">
        <x:v>Increase in working capital</x:v>
      </x:c>
      <x:c r="B57" s="4"/>
      <x:c r="C57" s="4" t="n">
        <x:f>C56</x:f>
        <x:v>406746.6666666667</x:v>
      </x:c>
      <x:c r="D57" s="4" t="n">
        <x:f>D56-C56</x:f>
        <x:v>8134.933333333291</x:v>
      </x:c>
      <x:c r="E57" s="4" t="n">
        <x:f>E56-D56</x:f>
        <x:v>8297.632000000041</x:v>
      </x:c>
      <x:c r="F57" s="4" t="n">
        <x:f>F56-E56</x:f>
        <x:v>8463.584640000015</x:v>
      </x:c>
      <x:c r="G57" s="4" t="n">
        <x:f>G56-F56</x:f>
        <x:v>8632.85633280006</x:v>
      </x:c>
      <x:c r="H57" s="4" t="n">
        <x:f>H56-G56</x:f>
        <x:v>8805.513459455979</x:v>
      </x:c>
      <x:c r="I57" s="4" t="n">
        <x:f>I56-H56</x:f>
        <x:v>8981.623728645209</x:v>
      </x:c>
      <x:c r="J57" s="4" t="n">
        <x:f>J56-I56</x:f>
        <x:v>9161.256203217781</x:v>
      </x:c>
      <x:c r="K57" s="4" t="n">
        <x:f>K56-J56</x:f>
        <x:v>9344.481327282381</x:v>
      </x:c>
      <x:c r="L57" s="4" t="n">
        <x:f>L56-K56</x:f>
        <x:v>9531.370953828096</x:v>
      </x:c>
      <x:c r="M57" s="4" t="n">
        <x:f>M56-L56</x:f>
        <x:v>9721.998372904549</x:v>
      </x:c>
      <x:c r="N57" s="4" t="n">
        <x:f>N56-M56</x:f>
        <x:v>9916.438340362569</x:v>
      </x:c>
    </x:row>
    <x:row r="58" ht="31" customHeight="1">
      <x:c r="A58" s="10" t="str">
        <x:v>Opening debt</x:v>
      </x:c>
      <x:c r="B58" s="4"/>
      <x:c r="C58" s="4" t="n">
        <x:f>$C$19</x:f>
        <x:v>500000</x:v>
      </x:c>
      <x:c r="D58" s="4" t="n">
        <x:f>C61</x:f>
        <x:v>491666.6666666667</x:v>
      </x:c>
      <x:c r="E58" s="4" t="n">
        <x:f>D61</x:f>
        <x:v>483333.3333333334</x:v>
      </x:c>
      <x:c r="F58" s="4" t="n">
        <x:f>E61</x:f>
        <x:v>475000.00000000006</x:v>
      </x:c>
      <x:c r="G58" s="4" t="n">
        <x:f>F61</x:f>
        <x:v>466666.66666666674</x:v>
      </x:c>
      <x:c r="H58" s="4" t="n">
        <x:f>G61</x:f>
        <x:v>458333.33333333343</x:v>
      </x:c>
      <x:c r="I58" s="4" t="n">
        <x:f>H61</x:f>
        <x:v>450000.0000000001</x:v>
      </x:c>
      <x:c r="J58" s="4" t="n">
        <x:f>I61</x:f>
        <x:v>441666.6666666668</x:v>
      </x:c>
      <x:c r="K58" s="4" t="n">
        <x:f>J61</x:f>
        <x:v>433333.3333333335</x:v>
      </x:c>
      <x:c r="L58" s="4" t="n">
        <x:f>K61</x:f>
        <x:v>425000.0000000002</x:v>
      </x:c>
      <x:c r="M58" s="4" t="n">
        <x:f>L61</x:f>
        <x:v>416666.66666666686</x:v>
      </x:c>
      <x:c r="N58" s="4" t="n">
        <x:f>M61</x:f>
        <x:v>408333.33333333355</x:v>
      </x:c>
    </x:row>
    <x:row r="59" ht="31" customHeight="1">
      <x:c r="A59" s="10" t="str">
        <x:v>Interest cash</x:v>
      </x:c>
      <x:c r="B59" s="4"/>
      <x:c r="C59" s="4" t="n">
        <x:f>C58*$C$20/$C$30</x:f>
        <x:v>5000</x:v>
      </x:c>
      <x:c r="D59" s="4" t="n">
        <x:f>D58*$C$20/$C$30</x:f>
        <x:v>4916.666666666667</x:v>
      </x:c>
      <x:c r="E59" s="4" t="n">
        <x:f>E58*$C$20/$C$30</x:f>
        <x:v>4833.333333333333</x:v>
      </x:c>
      <x:c r="F59" s="4" t="n">
        <x:f>F58*$C$20/$C$30</x:f>
        <x:v>4750.000000000001</x:v>
      </x:c>
      <x:c r="G59" s="4" t="n">
        <x:f>G58*$C$20/$C$30</x:f>
        <x:v>4666.666666666667</x:v>
      </x:c>
      <x:c r="H59" s="4" t="n">
        <x:f>H58*$C$20/$C$30</x:f>
        <x:v>4583.333333333334</x:v>
      </x:c>
      <x:c r="I59" s="4" t="n">
        <x:f>I58*$C$20/$C$30</x:f>
        <x:v>4500.000000000001</x:v>
      </x:c>
      <x:c r="J59" s="4" t="n">
        <x:f>J58*$C$20/$C$30</x:f>
        <x:v>4416.666666666668</x:v>
      </x:c>
      <x:c r="K59" s="4" t="n">
        <x:f>K58*$C$20/$C$30</x:f>
        <x:v>4333.333333333335</x:v>
      </x:c>
      <x:c r="L59" s="4" t="n">
        <x:f>L58*$C$20/$C$30</x:f>
        <x:v>4250.000000000002</x:v>
      </x:c>
      <x:c r="M59" s="4" t="n">
        <x:f>M58*$C$20/$C$30</x:f>
        <x:v>4166.666666666669</x:v>
      </x:c>
      <x:c r="N59" s="4" t="n">
        <x:f>N58*$C$20/$C$30</x:f>
        <x:v>4083.3333333333353</x:v>
      </x:c>
    </x:row>
    <x:row r="60" ht="31" customHeight="1">
      <x:c r="A60" s="10" t="str">
        <x:v>Principal repayment</x:v>
      </x:c>
      <x:c r="B60" s="4"/>
      <x:c r="C60" s="4" t="n">
        <x:f>MIN(C58,$C$19/$C$21)</x:f>
        <x:v>8333.333333333334</x:v>
      </x:c>
      <x:c r="D60" s="4" t="n">
        <x:f>MIN(D58,$C$19/$C$21)</x:f>
        <x:v>8333.333333333334</x:v>
      </x:c>
      <x:c r="E60" s="4" t="n">
        <x:f>MIN(E58,$C$19/$C$21)</x:f>
        <x:v>8333.333333333334</x:v>
      </x:c>
      <x:c r="F60" s="4" t="n">
        <x:f>MIN(F58,$C$19/$C$21)</x:f>
        <x:v>8333.333333333334</x:v>
      </x:c>
      <x:c r="G60" s="4" t="n">
        <x:f>MIN(G58,$C$19/$C$21)</x:f>
        <x:v>8333.333333333334</x:v>
      </x:c>
      <x:c r="H60" s="4" t="n">
        <x:f>MIN(H58,$C$19/$C$21)</x:f>
        <x:v>8333.333333333334</x:v>
      </x:c>
      <x:c r="I60" s="4" t="n">
        <x:f>MIN(I58,$C$19/$C$21)</x:f>
        <x:v>8333.333333333334</x:v>
      </x:c>
      <x:c r="J60" s="4" t="n">
        <x:f>MIN(J58,$C$19/$C$21)</x:f>
        <x:v>8333.333333333334</x:v>
      </x:c>
      <x:c r="K60" s="4" t="n">
        <x:f>MIN(K58,$C$19/$C$21)</x:f>
        <x:v>8333.333333333334</x:v>
      </x:c>
      <x:c r="L60" s="4" t="n">
        <x:f>MIN(L58,$C$19/$C$21)</x:f>
        <x:v>8333.333333333334</x:v>
      </x:c>
      <x:c r="M60" s="4" t="n">
        <x:f>MIN(M58,$C$19/$C$21)</x:f>
        <x:v>8333.333333333334</x:v>
      </x:c>
      <x:c r="N60" s="4" t="n">
        <x:f>MIN(N58,$C$19/$C$21)</x:f>
        <x:v>8333.333333333334</x:v>
      </x:c>
    </x:row>
    <x:row r="61" ht="31" customHeight="1">
      <x:c r="A61" s="10" t="str">
        <x:v>Closing debt</x:v>
      </x:c>
      <x:c r="B61" s="4"/>
      <x:c r="C61" s="4" t="n">
        <x:f>C58-C60</x:f>
        <x:v>491666.6666666667</x:v>
      </x:c>
      <x:c r="D61" s="4" t="n">
        <x:f>D58-D60</x:f>
        <x:v>483333.3333333334</x:v>
      </x:c>
      <x:c r="E61" s="4" t="n">
        <x:f>E58-E60</x:f>
        <x:v>475000.00000000006</x:v>
      </x:c>
      <x:c r="F61" s="4" t="n">
        <x:f>F58-F60</x:f>
        <x:v>466666.66666666674</x:v>
      </x:c>
      <x:c r="G61" s="4" t="n">
        <x:f>G58-G60</x:f>
        <x:v>458333.33333333343</x:v>
      </x:c>
      <x:c r="H61" s="4" t="n">
        <x:f>H58-H60</x:f>
        <x:v>450000.0000000001</x:v>
      </x:c>
      <x:c r="I61" s="4" t="n">
        <x:f>I58-I60</x:f>
        <x:v>441666.6666666668</x:v>
      </x:c>
      <x:c r="J61" s="4" t="n">
        <x:f>J58-J60</x:f>
        <x:v>433333.3333333335</x:v>
      </x:c>
      <x:c r="K61" s="4" t="n">
        <x:f>K58-K60</x:f>
        <x:v>425000.0000000002</x:v>
      </x:c>
      <x:c r="L61" s="4" t="n">
        <x:f>L58-L60</x:f>
        <x:v>416666.66666666686</x:v>
      </x:c>
      <x:c r="M61" s="4" t="n">
        <x:f>M58-M60</x:f>
        <x:v>408333.33333333355</x:v>
      </x:c>
      <x:c r="N61" s="4" t="n">
        <x:f>N58-N60</x:f>
        <x:v>400000.00000000023</x:v>
      </x:c>
    </x:row>
    <x:row r="62" ht="31" customHeight="1">
      <x:c r="A62" s="10" t="str">
        <x:v>Maintenance capital spend</x:v>
      </x:c>
      <x:c r="B62" s="4"/>
      <x:c r="C62" s="4" t="n">
        <x:f>$C$22</x:f>
        <x:v>2800</x:v>
      </x:c>
      <x:c r="D62" s="4" t="n">
        <x:f>$C$22</x:f>
        <x:v>2800</x:v>
      </x:c>
      <x:c r="E62" s="4" t="n">
        <x:f>$C$22</x:f>
        <x:v>2800</x:v>
      </x:c>
      <x:c r="F62" s="4" t="n">
        <x:f>$C$22</x:f>
        <x:v>2800</x:v>
      </x:c>
      <x:c r="G62" s="4" t="n">
        <x:f>$C$22</x:f>
        <x:v>2800</x:v>
      </x:c>
      <x:c r="H62" s="4" t="n">
        <x:f>$C$22</x:f>
        <x:v>2800</x:v>
      </x:c>
      <x:c r="I62" s="4" t="n">
        <x:f>$C$22</x:f>
        <x:v>2800</x:v>
      </x:c>
      <x:c r="J62" s="4" t="n">
        <x:f>$C$22</x:f>
        <x:v>2800</x:v>
      </x:c>
      <x:c r="K62" s="4" t="n">
        <x:f>$C$22</x:f>
        <x:v>2800</x:v>
      </x:c>
      <x:c r="L62" s="4" t="n">
        <x:f>$C$22</x:f>
        <x:v>2800</x:v>
      </x:c>
      <x:c r="M62" s="4" t="n">
        <x:f>$C$22</x:f>
        <x:v>2800</x:v>
      </x:c>
      <x:c r="N62" s="4" t="n">
        <x:f>$C$22</x:f>
        <x:v>2800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3119.99999999998</x:v>
      </x:c>
      <x:c r="D66" s="22" t="n">
        <x:f>D50-D57-SUM(D59:D60)-SUM(D62:D65)</x:f>
        <x:v>421895.0666666668</x:v>
      </x:c>
      <x:c r="E66" s="22" t="n">
        <x:f>E50-E57-SUM(E59:E60)-SUM(E62:E65)</x:f>
        <x:v>442331.98133333365</x:v>
      </x:c>
      <x:c r="F66" s="22" t="n">
        <x:f>F50-F57-SUM(F59:F60)-SUM(F62:F65)</x:f>
        <x:v>463210.7516666669</x:v>
      </x:c>
      <x:c r="G66" s="22" t="n">
        <x:f>G50-G57-SUM(G59:G60)-SUM(G62:G65)</x:f>
        <x:v>484540.3191321205</x:v>
      </x:c>
      <x:c r="H66" s="22" t="n">
        <x:f>H50-H57-SUM(H59:H60)-SUM(H62:H65)</x:f>
        <x:v>506329.8043375127</x:v>
      </x:c>
      <x:c r="I66" s="22" t="n">
        <x:f>I50-I57-SUM(I59:I60)-SUM(I62:I65)</x:f>
        <x:v>528588.5106168144</x:v>
      </x:c>
      <x:c r="J66" s="22" t="n">
        <x:f>J50-J57-SUM(J59:J60)-SUM(J62:J65)</x:f>
        <x:v>551325.9276856129</x:v>
      </x:c>
      <x:c r="K66" s="22" t="n">
        <x:f>K50-K57-SUM(K59:K60)-SUM(K62:K65)</x:f>
        <x:v>574551.7353696896</x:v>
      </x:c>
      <x:c r="L66" s="22" t="n">
        <x:f>L50-L57-SUM(L59:L60)-SUM(L62:L65)</x:f>
        <x:v>598275.8074081733</x:v>
      </x:c>
      <x:c r="M66" s="22" t="n">
        <x:f>M50-M57-SUM(M59:M60)-SUM(M62:M65)</x:f>
        <x:v>622508.215332753</x:v>
      </x:c>
      <x:c r="N66" s="22" t="n">
        <x:f>N50-N57-SUM(N59:N60)-SUM(N62:N65)</x:f>
        <x:v>647259.2324244865</x:v>
      </x:c>
    </x:row>
    <x:row r="67" ht="31" customHeight="1">
      <x:c r="A67" s="10" t="str">
        <x:v>Opening cash</x:v>
      </x:c>
      <x:c r="B67" s="4"/>
      <x:c r="C67" s="4" t="n">
        <x:f>$C$15</x:f>
        <x:v>1500000</x:v>
      </x:c>
      <x:c r="D67" s="4" t="n">
        <x:f>C68</x:f>
        <x:v>1503120</x:v>
      </x:c>
      <x:c r="E67" s="4" t="n">
        <x:f>D68</x:f>
        <x:v>1925015.066666667</x:v>
      </x:c>
      <x:c r="F67" s="4" t="n">
        <x:f>E68</x:f>
        <x:v>2367347.0480000004</x:v>
      </x:c>
      <x:c r="G67" s="4" t="n">
        <x:f>F68</x:f>
        <x:v>2830557.7996666674</x:v>
      </x:c>
      <x:c r="H67" s="4" t="n">
        <x:f>G68</x:f>
        <x:v>3315098.1187987877</x:v>
      </x:c>
      <x:c r="I67" s="4" t="n">
        <x:f>H68</x:f>
        <x:v>3821427.9231363004</x:v>
      </x:c>
      <x:c r="J67" s="4" t="n">
        <x:f>I68</x:f>
        <x:v>4350016.433753115</x:v>
      </x:c>
      <x:c r="K67" s="4" t="n">
        <x:f>J68</x:f>
        <x:v>4901342.361438728</x:v>
      </x:c>
      <x:c r="L67" s="4" t="n">
        <x:f>K68</x:f>
        <x:v>5475894.096808418</x:v>
      </x:c>
      <x:c r="M67" s="4" t="n">
        <x:f>L68</x:f>
        <x:v>6074169.904216591</x:v>
      </x:c>
      <x:c r="N67" s="4" t="n">
        <x:f>M68</x:f>
        <x:v>6696678.119549344</x:v>
      </x:c>
    </x:row>
    <x:row r="68" ht="31" customHeight="1">
      <x:c r="A68" s="23" t="str">
        <x:v>Closing cash</x:v>
      </x:c>
      <x:c r="B68" s="22"/>
      <x:c r="C68" s="22" t="n">
        <x:f>C67+C66</x:f>
        <x:v>1503120</x:v>
      </x:c>
      <x:c r="D68" s="22" t="n">
        <x:f>D67+D66</x:f>
        <x:v>1925015.066666667</x:v>
      </x:c>
      <x:c r="E68" s="22" t="n">
        <x:f>E67+E66</x:f>
        <x:v>2367347.0480000004</x:v>
      </x:c>
      <x:c r="F68" s="22" t="n">
        <x:f>F67+F66</x:f>
        <x:v>2830557.7996666674</x:v>
      </x:c>
      <x:c r="G68" s="22" t="n">
        <x:f>G67+G66</x:f>
        <x:v>3315098.1187987877</x:v>
      </x:c>
      <x:c r="H68" s="22" t="n">
        <x:f>H67+H66</x:f>
        <x:v>3821427.9231363004</x:v>
      </x:c>
      <x:c r="I68" s="22" t="n">
        <x:f>I67+I66</x:f>
        <x:v>4350016.433753115</x:v>
      </x:c>
      <x:c r="J68" s="22" t="n">
        <x:f>J67+J66</x:f>
        <x:v>4901342.361438728</x:v>
      </x:c>
      <x:c r="K68" s="22" t="n">
        <x:f>K67+K66</x:f>
        <x:v>5475894.096808418</x:v>
      </x:c>
      <x:c r="L68" s="22" t="n">
        <x:f>L67+L66</x:f>
        <x:v>6074169.904216591</x:v>
      </x:c>
      <x:c r="M68" s="22" t="n">
        <x:f>M67+M66</x:f>
        <x:v>6696678.119549344</x:v>
      </x:c>
      <x:c r="N68" s="22" t="n">
        <x:f>N67+N66</x:f>
        <x:v>7343937.351973831</x:v>
      </x:c>
    </x:row>
    <x:row r="69" ht="31" customHeight="1">
      <x:c r="A69" s="10" t="str">
        <x:v>Cash-buffer shortfall</x:v>
      </x:c>
      <x:c r="B69" s="4"/>
      <x:c r="C69" s="4" t="n">
        <x:f>MAX(0,$C$15-C68)</x:f>
        <x:v>0</x:v>
      </x:c>
      <x:c r="D69" s="4" t="n">
        <x:f>MAX(0,$C$15-D68)</x:f>
        <x:v>0</x:v>
      </x:c>
      <x:c r="E69" s="4" t="n">
        <x:f>MAX(0,$C$15-E68)</x:f>
        <x:v>0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31.95</x:v>
      </x:c>
      <x:c r="D70" s="30" t="n">
        <x:f>IF(SUM(D59:D60)&gt;0,D50/SUM(D59:D60),"No debt")</x:f>
        <x:v>33.666415094339634</x:v>
      </x:c>
      <x:c r="E70" s="30" t="n">
        <x:f>IF(SUM(E59:E60)&gt;0,E50/SUM(E59:E60),"No debt")</x:f>
        <x:v>35.43769215189876</x:v>
      </x:c>
      <x:c r="F70" s="30" t="n">
        <x:f>IF(SUM(F59:F60)&gt;0,F50/SUM(F59:F60),"No debt")</x:f>
        <x:v>37.265554367388546</x:v>
      </x:c>
      <x:c r="G70" s="30" t="n">
        <x:f>IF(SUM(G59:G60)&gt;0,G50/SUM(G59:G60),"No debt")</x:f>
        <x:v>39.15178272807081</x:v>
      </x:c>
      <x:c r="H70" s="30" t="n">
        <x:f>IF(SUM(H59:H60)&gt;0,H50/SUM(H59:H60),"No debt")</x:f>
        <x:v>41.09821815202338</x:v>
      </x:c>
      <x:c r="I70" s="30" t="n">
        <x:f>IF(SUM(I59:I60)&gt;0,I50/SUM(I59:I60),"No debt")</x:f>
        <x:v>43.106763715230606</x:v>
      </x:c>
      <x:c r="J70" s="30" t="n">
        <x:f>IF(SUM(J59:J60)&gt;0,J50/SUM(J59:J60),"No debt")</x:f>
        <x:v>45.17938697167299</x:v>
      </x:c>
      <x:c r="K70" s="30" t="n">
        <x:f>IF(SUM(K59:K60)&gt;0,K50/SUM(K59:K60),"No debt")</x:f>
        <x:v>47.318122370813576</x:v>
      </x:c>
      <x:c r="L70" s="30" t="n">
        <x:f>IF(SUM(L59:L60)&gt;0,L50/SUM(L59:L60),"No debt")</x:f>
        <x:v>49.52507377711269</x:v>
      </x:c>
      <x:c r="M70" s="30" t="n">
        <x:f>IF(SUM(M59:M60)&gt;0,M50/SUM(M59:M60),"No debt")</x:f>
        <x:v>51.80241709645259</x:v>
      </x:c>
      <x:c r="N70" s="30" t="n">
        <x:f>IF(SUM(N59:N60)&gt;0,N50/SUM(N59:N60),"No debt")</x:f>
        <x:v>54.152403014618706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0.6222222222222222</x:v>
      </x:c>
      <x:c r="D71" s="20" t="n">
        <x:f>IF($C$10&gt;0,D43/$C$10,0)</x:f>
        <x:v>0.6346666666666667</x:v>
      </x:c>
      <x:c r="E71" s="20" t="n">
        <x:f>IF($C$10&gt;0,E43/$C$10,0)</x:f>
        <x:v>0.64736</x:v>
      </x:c>
      <x:c r="F71" s="20" t="n">
        <x:f>IF($C$10&gt;0,F43/$C$10,0)</x:f>
        <x:v>0.6603072</x:v>
      </x:c>
      <x:c r="G71" s="20" t="n">
        <x:f>IF($C$10&gt;0,G43/$C$10,0)</x:f>
        <x:v>0.6735133440000001</x:v>
      </x:c>
      <x:c r="H71" s="20" t="n">
        <x:f>IF($C$10&gt;0,H43/$C$10,0)</x:f>
        <x:v>0.68698361088</x:v>
      </x:c>
      <x:c r="I71" s="20" t="n">
        <x:f>IF($C$10&gt;0,I43/$C$10,0)</x:f>
        <x:v>0.7007232830976001</x:v>
      </x:c>
      <x:c r="J71" s="20" t="n">
        <x:f>IF($C$10&gt;0,J43/$C$10,0)</x:f>
        <x:v>0.7147377487595519</x:v>
      </x:c>
      <x:c r="K71" s="20" t="n">
        <x:f>IF($C$10&gt;0,K43/$C$10,0)</x:f>
        <x:v>0.7290325037347429</x:v>
      </x:c>
      <x:c r="L71" s="20" t="n">
        <x:f>IF($C$10&gt;0,L43/$C$10,0)</x:f>
        <x:v>0.7436131538094378</x:v>
      </x:c>
      <x:c r="M71" s="20" t="n">
        <x:f>IF($C$10&gt;0,M43/$C$10,0)</x:f>
        <x:v>0.7584854168856267</x:v>
      </x:c>
      <x:c r="N71" s="20" t="n">
        <x:f>IF($C$10&gt;0,N43/$C$10,0)</x:f>
        <x:v>0.773655125223339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9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6a0defd37fe5421e"/>
</x:worksheet>
</file>

<file path=xl/worksheets/sheet1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Travel Agency &amp; Tour Operator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160</x:v>
      </x:c>
      <x:c r="D6" s="10" t="str">
        <x:v>completed bookings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992000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6200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392000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2450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3750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405000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600000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260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195000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0.6048387096774194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108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600000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669600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200000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0.6153846153846154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1200000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2200000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15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1900000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10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793600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300000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448640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43640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992000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1200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13304793.010302246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3106256.4979786323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3696170.1444227165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981266.6666666667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218733.33333333326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160</x:v>
      </x:c>
      <x:c r="D43" s="4" t="n">
        <x:f>MIN($C$10,$C$6*(1+$C$11)^1)</x:f>
        <x:v>163.2</x:v>
      </x:c>
      <x:c r="E43" s="4" t="n">
        <x:f>MIN($C$10,$C$6*(1+$C$11)^2)</x:f>
        <x:v>166.464</x:v>
      </x:c>
      <x:c r="F43" s="4" t="n">
        <x:f>MIN($C$10,$C$6*(1+$C$11)^3)</x:f>
        <x:v>169.79327999999998</x:v>
      </x:c>
      <x:c r="G43" s="4" t="n">
        <x:f>MIN($C$10,$C$6*(1+$C$11)^4)</x:f>
        <x:v>173.1891456</x:v>
      </x:c>
      <x:c r="H43" s="4" t="n">
        <x:f>MIN($C$10,$C$6*(1+$C$11)^5)</x:f>
        <x:v>176.65292851200002</x:v>
      </x:c>
      <x:c r="I43" s="4" t="n">
        <x:f>MIN($C$10,$C$6*(1+$C$11)^6)</x:f>
        <x:v>180.18598708224002</x:v>
      </x:c>
      <x:c r="J43" s="4" t="n">
        <x:f>MIN($C$10,$C$6*(1+$C$11)^7)</x:f>
        <x:v>183.78970682388479</x:v>
      </x:c>
      <x:c r="K43" s="4" t="n">
        <x:f>MIN($C$10,$C$6*(1+$C$11)^8)</x:f>
        <x:v>187.46550096036248</x:v>
      </x:c>
      <x:c r="L43" s="4" t="n">
        <x:f>MIN($C$10,$C$6*(1+$C$11)^9)</x:f>
        <x:v>191.21481097956973</x:v>
      </x:c>
      <x:c r="M43" s="4" t="n">
        <x:f>MIN($C$10,$C$6*(1+$C$11)^10)</x:f>
        <x:v>195.03910719916115</x:v>
      </x:c>
      <x:c r="N43" s="4" t="n">
        <x:f>MIN($C$10,$C$6*(1+$C$11)^11)</x:f>
        <x:v>198.93988934314433</x:v>
      </x:c>
    </x:row>
    <x:row r="44" ht="31" customHeight="1">
      <x:c r="A44" s="10" t="str">
        <x:v>Net unit price</x:v>
      </x:c>
      <x:c r="B44" s="4"/>
      <x:c r="C44" s="4" t="n">
        <x:f>$C$7*(1+$C$34)^0</x:f>
        <x:v>6200</x:v>
      </x:c>
      <x:c r="D44" s="4" t="n">
        <x:f>$C$7*(1+$C$34)^1</x:f>
        <x:v>6200</x:v>
      </x:c>
      <x:c r="E44" s="4" t="n">
        <x:f>$C$7*(1+$C$34)^2</x:f>
        <x:v>6200</x:v>
      </x:c>
      <x:c r="F44" s="4" t="n">
        <x:f>$C$7*(1+$C$34)^3</x:f>
        <x:v>6200</x:v>
      </x:c>
      <x:c r="G44" s="4" t="n">
        <x:f>$C$7*(1+$C$34)^4</x:f>
        <x:v>6200</x:v>
      </x:c>
      <x:c r="H44" s="4" t="n">
        <x:f>$C$7*(1+$C$34)^5</x:f>
        <x:v>6200</x:v>
      </x:c>
      <x:c r="I44" s="4" t="n">
        <x:f>$C$7*(1+$C$34)^6</x:f>
        <x:v>6200</x:v>
      </x:c>
      <x:c r="J44" s="4" t="n">
        <x:f>$C$7*(1+$C$34)^7</x:f>
        <x:v>6200</x:v>
      </x:c>
      <x:c r="K44" s="4" t="n">
        <x:f>$C$7*(1+$C$34)^8</x:f>
        <x:v>6200</x:v>
      </x:c>
      <x:c r="L44" s="4" t="n">
        <x:f>$C$7*(1+$C$34)^9</x:f>
        <x:v>6200</x:v>
      </x:c>
      <x:c r="M44" s="4" t="n">
        <x:f>$C$7*(1+$C$34)^10</x:f>
        <x:v>6200</x:v>
      </x:c>
      <x:c r="N44" s="4" t="n">
        <x:f>$C$7*(1+$C$34)^11</x:f>
        <x:v>6200</x:v>
      </x:c>
    </x:row>
    <x:row r="45" ht="31" customHeight="1">
      <x:c r="A45" s="23" t="str">
        <x:v>Net revenue</x:v>
      </x:c>
      <x:c r="B45" s="22"/>
      <x:c r="C45" s="22" t="n">
        <x:f>C43*C44</x:f>
        <x:v>992000</x:v>
      </x:c>
      <x:c r="D45" s="22" t="n">
        <x:f>D43*D44</x:f>
        <x:v>1011839.9999999999</x:v>
      </x:c>
      <x:c r="E45" s="22" t="n">
        <x:f>E43*E44</x:f>
        <x:v>1032076.8</x:v>
      </x:c>
      <x:c r="F45" s="22" t="n">
        <x:f>F43*F44</x:f>
        <x:v>1052718.336</x:v>
      </x:c>
      <x:c r="G45" s="22" t="n">
        <x:f>G43*G44</x:f>
        <x:v>1073772.70272</x:v>
      </x:c>
      <x:c r="H45" s="22" t="n">
        <x:f>H43*H44</x:f>
        <x:v>1095248.1567744</x:v>
      </x:c>
      <x:c r="I45" s="22" t="n">
        <x:f>I43*I44</x:f>
        <x:v>1117153.1199098881</x:v>
      </x:c>
      <x:c r="J45" s="22" t="n">
        <x:f>J43*J44</x:f>
        <x:v>1139496.1823080857</x:v>
      </x:c>
      <x:c r="K45" s="22" t="n">
        <x:f>K43*K44</x:f>
        <x:v>1162286.1059542473</x:v>
      </x:c>
      <x:c r="L45" s="22" t="n">
        <x:f>L43*L44</x:f>
        <x:v>1185531.8280733323</x:v>
      </x:c>
      <x:c r="M45" s="22" t="n">
        <x:f>M43*M44</x:f>
        <x:v>1209242.4646347992</x:v>
      </x:c>
      <x:c r="N45" s="22" t="n">
        <x:f>N43*N44</x:f>
        <x:v>1233427.313927495</x:v>
      </x:c>
    </x:row>
    <x:row r="46" ht="31" customHeight="1">
      <x:c r="A46" s="10" t="str">
        <x:v>Variable cost per unit</x:v>
      </x:c>
      <x:c r="B46" s="4"/>
      <x:c r="C46" s="4" t="n">
        <x:f>$C$8</x:f>
        <x:v>2450</x:v>
      </x:c>
      <x:c r="D46" s="4" t="n">
        <x:f>$C$8</x:f>
        <x:v>2450</x:v>
      </x:c>
      <x:c r="E46" s="4" t="n">
        <x:f>$C$8</x:f>
        <x:v>2450</x:v>
      </x:c>
      <x:c r="F46" s="4" t="n">
        <x:f>$C$8</x:f>
        <x:v>2450</x:v>
      </x:c>
      <x:c r="G46" s="4" t="n">
        <x:f>$C$8</x:f>
        <x:v>2450</x:v>
      </x:c>
      <x:c r="H46" s="4" t="n">
        <x:f>$C$8</x:f>
        <x:v>2450</x:v>
      </x:c>
      <x:c r="I46" s="4" t="n">
        <x:f>$C$8</x:f>
        <x:v>2450</x:v>
      </x:c>
      <x:c r="J46" s="4" t="n">
        <x:f>$C$8</x:f>
        <x:v>2450</x:v>
      </x:c>
      <x:c r="K46" s="4" t="n">
        <x:f>$C$8</x:f>
        <x:v>2450</x:v>
      </x:c>
      <x:c r="L46" s="4" t="n">
        <x:f>$C$8</x:f>
        <x:v>2450</x:v>
      </x:c>
      <x:c r="M46" s="4" t="n">
        <x:f>$C$8</x:f>
        <x:v>2450</x:v>
      </x:c>
      <x:c r="N46" s="4" t="n">
        <x:f>$C$8</x:f>
        <x:v>2450</x:v>
      </x:c>
    </x:row>
    <x:row r="47" ht="31" customHeight="1">
      <x:c r="A47" s="10" t="str">
        <x:v>Variable cash cost</x:v>
      </x:c>
      <x:c r="B47" s="4"/>
      <x:c r="C47" s="4" t="n">
        <x:f>C43*C46</x:f>
        <x:v>392000</x:v>
      </x:c>
      <x:c r="D47" s="4" t="n">
        <x:f>D43*D46</x:f>
        <x:v>399840</x:v>
      </x:c>
      <x:c r="E47" s="4" t="n">
        <x:f>E43*E46</x:f>
        <x:v>407836.8</x:v>
      </x:c>
      <x:c r="F47" s="4" t="n">
        <x:f>F43*F46</x:f>
        <x:v>415993.53599999996</x:v>
      </x:c>
      <x:c r="G47" s="4" t="n">
        <x:f>G43*G46</x:f>
        <x:v>424313.40671999997</x:v>
      </x:c>
      <x:c r="H47" s="4" t="n">
        <x:f>H43*H46</x:f>
        <x:v>432799.67485440004</x:v>
      </x:c>
      <x:c r="I47" s="4" t="n">
        <x:f>I43*I46</x:f>
        <x:v>441455.6683514881</x:v>
      </x:c>
      <x:c r="J47" s="4" t="n">
        <x:f>J43*J46</x:f>
        <x:v>450284.7817185177</x:v>
      </x:c>
      <x:c r="K47" s="4" t="n">
        <x:f>K43*K46</x:f>
        <x:v>459290.4773528881</x:v>
      </x:c>
      <x:c r="L47" s="4" t="n">
        <x:f>L43*L46</x:f>
        <x:v>468476.2868999459</x:v>
      </x:c>
      <x:c r="M47" s="4" t="n">
        <x:f>M43*M46</x:f>
        <x:v>477845.8126379448</x:v>
      </x:c>
      <x:c r="N47" s="4" t="n">
        <x:f>N43*N46</x:f>
        <x:v>487402.7288907036</x:v>
      </x:c>
    </x:row>
    <x:row r="48" ht="31" customHeight="1">
      <x:c r="A48" s="10" t="str">
        <x:v>Contribution</x:v>
      </x:c>
      <x:c r="B48" s="4"/>
      <x:c r="C48" s="4" t="n">
        <x:f>C45-C47</x:f>
        <x:v>600000</x:v>
      </x:c>
      <x:c r="D48" s="4" t="n">
        <x:f>D45-D47</x:f>
        <x:v>611999.9999999999</x:v>
      </x:c>
      <x:c r="E48" s="4" t="n">
        <x:f>E45-E47</x:f>
        <x:v>624240</x:v>
      </x:c>
      <x:c r="F48" s="4" t="n">
        <x:f>F45-F47</x:f>
        <x:v>636724.7999999999</x:v>
      </x:c>
      <x:c r="G48" s="4" t="n">
        <x:f>G45-G47</x:f>
        <x:v>649459.296</x:v>
      </x:c>
      <x:c r="H48" s="4" t="n">
        <x:f>H45-H47</x:f>
        <x:v>662448.4819199999</x:v>
      </x:c>
      <x:c r="I48" s="4" t="n">
        <x:f>I45-I47</x:f>
        <x:v>675697.4515584001</x:v>
      </x:c>
      <x:c r="J48" s="4" t="n">
        <x:f>J45-J47</x:f>
        <x:v>689211.4005895681</x:v>
      </x:c>
      <x:c r="K48" s="4" t="n">
        <x:f>K45-K47</x:f>
        <x:v>702995.6286013592</x:v>
      </x:c>
      <x:c r="L48" s="4" t="n">
        <x:f>L45-L47</x:f>
        <x:v>717055.5411733864</x:v>
      </x:c>
      <x:c r="M48" s="4" t="n">
        <x:f>M45-M47</x:f>
        <x:v>731396.6519968543</x:v>
      </x:c>
      <x:c r="N48" s="4" t="n">
        <x:f>N45-N47</x:f>
        <x:v>746024.5850367914</x:v>
      </x:c>
    </x:row>
    <x:row r="49" ht="31" customHeight="1">
      <x:c r="A49" s="10" t="str">
        <x:v>Fixed cash costs</x:v>
      </x:c>
      <x:c r="B49" s="4"/>
      <x:c r="C49" s="4" t="n">
        <x:f>$C$9*(1+$C$12)^0</x:f>
        <x:v>405000</x:v>
      </x:c>
      <x:c r="D49" s="4" t="n">
        <x:f>$C$9*(1+$C$12)^1</x:f>
        <x:v>406214.99999999994</x:v>
      </x:c>
      <x:c r="E49" s="4" t="n">
        <x:f>$C$9*(1+$C$12)^2</x:f>
        <x:v>407433.6449999999</x:v>
      </x:c>
      <x:c r="F49" s="4" t="n">
        <x:f>$C$9*(1+$C$12)^3</x:f>
        <x:v>408655.94593499985</x:v>
      </x:c>
      <x:c r="G49" s="4" t="n">
        <x:f>$C$9*(1+$C$12)^4</x:f>
        <x:v>409881.9137728048</x:v>
      </x:c>
      <x:c r="H49" s="4" t="n">
        <x:f>$C$9*(1+$C$12)^5</x:f>
        <x:v>411111.5595141232</x:v>
      </x:c>
      <x:c r="I49" s="4" t="n">
        <x:f>$C$9*(1+$C$12)^6</x:f>
        <x:v>412344.89419266547</x:v>
      </x:c>
      <x:c r="J49" s="4" t="n">
        <x:f>$C$9*(1+$C$12)^7</x:f>
        <x:v>413581.9288752434</x:v>
      </x:c>
      <x:c r="K49" s="4" t="n">
        <x:f>$C$9*(1+$C$12)^8</x:f>
        <x:v>414822.67466186907</x:v>
      </x:c>
      <x:c r="L49" s="4" t="n">
        <x:f>$C$9*(1+$C$12)^9</x:f>
        <x:v>416067.14268585463</x:v>
      </x:c>
      <x:c r="M49" s="4" t="n">
        <x:f>$C$9*(1+$C$12)^10</x:f>
        <x:v>417315.34411391214</x:v>
      </x:c>
      <x:c r="N49" s="4" t="n">
        <x:f>$C$9*(1+$C$12)^11</x:f>
        <x:v>418567.2901462539</x:v>
      </x:c>
    </x:row>
    <x:row r="50" ht="31" customHeight="1">
      <x:c r="A50" s="23" t="str">
        <x:v>Operating cash profit (EBITDA)</x:v>
      </x:c>
      <x:c r="B50" s="22"/>
      <x:c r="C50" s="22" t="n">
        <x:f>C48-C49</x:f>
        <x:v>195000</x:v>
      </x:c>
      <x:c r="D50" s="22" t="n">
        <x:f>D48-D49</x:f>
        <x:v>205784.99999999994</x:v>
      </x:c>
      <x:c r="E50" s="22" t="n">
        <x:f>E48-E49</x:f>
        <x:v>216806.3550000001</x:v>
      </x:c>
      <x:c r="F50" s="22" t="n">
        <x:f>F48-F49</x:f>
        <x:v>228068.85406500008</x:v>
      </x:c>
      <x:c r="G50" s="22" t="n">
        <x:f>G48-G49</x:f>
        <x:v>239577.3822271952</x:v>
      </x:c>
      <x:c r="H50" s="22" t="n">
        <x:f>H48-H49</x:f>
        <x:v>251336.92240587674</x:v>
      </x:c>
      <x:c r="I50" s="22" t="n">
        <x:f>I48-I49</x:f>
        <x:v>263352.5573657346</x:v>
      </x:c>
      <x:c r="J50" s="22" t="n">
        <x:f>J48-J49</x:f>
        <x:v>275629.47171432467</x:v>
      </x:c>
      <x:c r="K50" s="22" t="n">
        <x:f>K48-K49</x:f>
        <x:v>288172.95393949014</x:v>
      </x:c>
      <x:c r="L50" s="22" t="n">
        <x:f>L48-L49</x:f>
        <x:v>300988.39848753175</x:v>
      </x:c>
      <x:c r="M50" s="22" t="n">
        <x:f>M48-M49</x:f>
        <x:v>314081.3078829422</x:v>
      </x:c>
      <x:c r="N50" s="22" t="n">
        <x:f>N48-N49</x:f>
        <x:v>327457.2948905375</x:v>
      </x:c>
    </x:row>
    <x:row r="51" ht="31" customHeight="1">
      <x:c r="A51" s="10" t="str">
        <x:v>Planning depreciation</x:v>
      </x:c>
      <x:c r="B51" s="4"/>
      <x:c r="C51" s="4" t="n">
        <x:f>$C$13/$C$33/$C$30</x:f>
        <x:v>10000</x:v>
      </x:c>
      <x:c r="D51" s="4" t="n">
        <x:f>$C$13/$C$33/$C$30</x:f>
        <x:v>10000</x:v>
      </x:c>
      <x:c r="E51" s="4" t="n">
        <x:f>$C$13/$C$33/$C$30</x:f>
        <x:v>10000</x:v>
      </x:c>
      <x:c r="F51" s="4" t="n">
        <x:f>$C$13/$C$33/$C$30</x:f>
        <x:v>10000</x:v>
      </x:c>
      <x:c r="G51" s="4" t="n">
        <x:f>$C$13/$C$33/$C$30</x:f>
        <x:v>10000</x:v>
      </x:c>
      <x:c r="H51" s="4" t="n">
        <x:f>$C$13/$C$33/$C$30</x:f>
        <x:v>10000</x:v>
      </x:c>
      <x:c r="I51" s="4" t="n">
        <x:f>$C$13/$C$33/$C$30</x:f>
        <x:v>10000</x:v>
      </x:c>
      <x:c r="J51" s="4" t="n">
        <x:f>$C$13/$C$33/$C$30</x:f>
        <x:v>10000</x:v>
      </x:c>
      <x:c r="K51" s="4" t="n">
        <x:f>$C$13/$C$33/$C$30</x:f>
        <x:v>10000</x:v>
      </x:c>
      <x:c r="L51" s="4" t="n">
        <x:f>$C$13/$C$33/$C$30</x:f>
        <x:v>10000</x:v>
      </x:c>
      <x:c r="M51" s="4" t="n">
        <x:f>$C$13/$C$33/$C$30</x:f>
        <x:v>10000</x:v>
      </x:c>
      <x:c r="N51" s="4" t="n">
        <x:f>$C$13/$C$33/$C$30</x:f>
        <x:v>10000</x:v>
      </x:c>
    </x:row>
    <x:row r="52" ht="31" customHeight="1">
      <x:c r="A52" s="10" t="str">
        <x:v>Operating profit (EBIT)</x:v>
      </x:c>
      <x:c r="B52" s="4"/>
      <x:c r="C52" s="4" t="n">
        <x:f>C50-C51</x:f>
        <x:v>185000</x:v>
      </x:c>
      <x:c r="D52" s="4" t="n">
        <x:f>D50-D51</x:f>
        <x:v>195784.99999999994</x:v>
      </x:c>
      <x:c r="E52" s="4" t="n">
        <x:f>E50-E51</x:f>
        <x:v>206806.3550000001</x:v>
      </x:c>
      <x:c r="F52" s="4" t="n">
        <x:f>F50-F51</x:f>
        <x:v>218068.85406500008</x:v>
      </x:c>
      <x:c r="G52" s="4" t="n">
        <x:f>G50-G51</x:f>
        <x:v>229577.3822271952</x:v>
      </x:c>
      <x:c r="H52" s="4" t="n">
        <x:f>H50-H51</x:f>
        <x:v>241336.92240587674</x:v>
      </x:c>
      <x:c r="I52" s="4" t="n">
        <x:f>I50-I51</x:f>
        <x:v>253352.5573657346</x:v>
      </x:c>
      <x:c r="J52" s="4" t="n">
        <x:f>J50-J51</x:f>
        <x:v>265629.47171432467</x:v>
      </x:c>
      <x:c r="K52" s="4" t="n">
        <x:f>K50-K51</x:f>
        <x:v>278172.95393949014</x:v>
      </x:c>
      <x:c r="L52" s="4" t="n">
        <x:f>L50-L51</x:f>
        <x:v>290988.39848753175</x:v>
      </x:c>
      <x:c r="M52" s="4" t="n">
        <x:f>M50-M51</x:f>
        <x:v>304081.3078829422</x:v>
      </x:c>
      <x:c r="N52" s="4" t="n">
        <x:f>N50-N51</x:f>
        <x:v>317457.2948905375</x:v>
      </x:c>
    </x:row>
    <x:row r="53" ht="31" customHeight="1">
      <x:c r="A53" s="10" t="str">
        <x:v>Receivables</x:v>
      </x:c>
      <x:c r="B53" s="4"/>
      <x:c r="C53" s="4" t="n">
        <x:f>C45*$C$16/$C$29</x:f>
        <x:v>496000</x:v>
      </x:c>
      <x:c r="D53" s="4" t="n">
        <x:f>D45*$C$16/$C$29</x:f>
        <x:v>505919.99999999994</x:v>
      </x:c>
      <x:c r="E53" s="4" t="n">
        <x:f>E45*$C$16/$C$29</x:f>
        <x:v>516038.4</x:v>
      </x:c>
      <x:c r="F53" s="4" t="n">
        <x:f>F45*$C$16/$C$29</x:f>
        <x:v>526359.168</x:v>
      </x:c>
      <x:c r="G53" s="4" t="n">
        <x:f>G45*$C$16/$C$29</x:f>
        <x:v>536886.35136</x:v>
      </x:c>
      <x:c r="H53" s="4" t="n">
        <x:f>H45*$C$16/$C$29</x:f>
        <x:v>547624.0783872</x:v>
      </x:c>
      <x:c r="I53" s="4" t="n">
        <x:f>I45*$C$16/$C$29</x:f>
        <x:v>558576.5599549441</x:v>
      </x:c>
      <x:c r="J53" s="4" t="n">
        <x:f>J45*$C$16/$C$29</x:f>
        <x:v>569748.0911540429</x:v>
      </x:c>
      <x:c r="K53" s="4" t="n">
        <x:f>K45*$C$16/$C$29</x:f>
        <x:v>581143.0529771236</x:v>
      </x:c>
      <x:c r="L53" s="4" t="n">
        <x:f>L45*$C$16/$C$29</x:f>
        <x:v>592765.9140366662</x:v>
      </x:c>
      <x:c r="M53" s="4" t="n">
        <x:f>M45*$C$16/$C$29</x:f>
        <x:v>604621.2323173996</x:v>
      </x:c>
      <x:c r="N53" s="4" t="n">
        <x:f>N45*$C$16/$C$29</x:f>
        <x:v>616713.6569637475</x:v>
      </x:c>
    </x:row>
    <x:row r="54" ht="31" customHeight="1">
      <x:c r="A54" s="10" t="str">
        <x:v>Own inventory</x:v>
      </x:c>
      <x:c r="B54" s="4"/>
      <x:c r="C54" s="4" t="n">
        <x:f>C47*$C$31*$C$17/$C$29</x:f>
        <x:v>0</x:v>
      </x:c>
      <x:c r="D54" s="4" t="n">
        <x:f>D47*$C$31*$C$17/$C$29</x:f>
        <x:v>0</x:v>
      </x:c>
      <x:c r="E54" s="4" t="n">
        <x:f>E47*$C$31*$C$17/$C$29</x:f>
        <x:v>0</x:v>
      </x:c>
      <x:c r="F54" s="4" t="n">
        <x:f>F47*$C$31*$C$17/$C$29</x:f>
        <x:v>0</x:v>
      </x:c>
      <x:c r="G54" s="4" t="n">
        <x:f>G47*$C$31*$C$17/$C$29</x:f>
        <x:v>0</x:v>
      </x:c>
      <x:c r="H54" s="4" t="n">
        <x:f>H47*$C$31*$C$17/$C$29</x:f>
        <x:v>0</x:v>
      </x:c>
      <x:c r="I54" s="4" t="n">
        <x:f>I47*$C$31*$C$17/$C$29</x:f>
        <x:v>0</x:v>
      </x:c>
      <x:c r="J54" s="4" t="n">
        <x:f>J47*$C$31*$C$17/$C$29</x:f>
        <x:v>0</x:v>
      </x:c>
      <x:c r="K54" s="4" t="n">
        <x:f>K47*$C$31*$C$17/$C$29</x:f>
        <x:v>0</x:v>
      </x:c>
      <x:c r="L54" s="4" t="n">
        <x:f>L47*$C$31*$C$17/$C$29</x:f>
        <x:v>0</x:v>
      </x:c>
      <x:c r="M54" s="4" t="n">
        <x:f>M47*$C$31*$C$17/$C$29</x:f>
        <x:v>0</x:v>
      </x:c>
      <x:c r="N54" s="4" t="n">
        <x:f>N47*$C$31*$C$17/$C$29</x:f>
        <x:v>0</x:v>
      </x:c>
    </x:row>
    <x:row r="55" ht="31" customHeight="1">
      <x:c r="A55" s="10" t="str">
        <x:v>Supplier payables</x:v>
      </x:c>
      <x:c r="B55" s="4"/>
      <x:c r="C55" s="4" t="n">
        <x:f>C47*$C$32*$C$18/$C$29</x:f>
        <x:v>91466.66666666667</x:v>
      </x:c>
      <x:c r="D55" s="4" t="n">
        <x:f>D47*$C$32*$C$18/$C$29</x:f>
        <x:v>93296</x:v>
      </x:c>
      <x:c r="E55" s="4" t="n">
        <x:f>E47*$C$32*$C$18/$C$29</x:f>
        <x:v>95161.91999999998</x:v>
      </x:c>
      <x:c r="F55" s="4" t="n">
        <x:f>F47*$C$32*$C$18/$C$29</x:f>
        <x:v>97065.15839999999</x:v>
      </x:c>
      <x:c r="G55" s="4" t="n">
        <x:f>G47*$C$32*$C$18/$C$29</x:f>
        <x:v>99006.46156799998</x:v>
      </x:c>
      <x:c r="H55" s="4" t="n">
        <x:f>H47*$C$32*$C$18/$C$29</x:f>
        <x:v>100986.59079936001</x:v>
      </x:c>
      <x:c r="I55" s="4" t="n">
        <x:f>I47*$C$32*$C$18/$C$29</x:f>
        <x:v>103006.32261534719</x:v>
      </x:c>
      <x:c r="J55" s="4" t="n">
        <x:f>J47*$C$32*$C$18/$C$29</x:f>
        <x:v>105066.44906765412</x:v>
      </x:c>
      <x:c r="K55" s="4" t="n">
        <x:f>K47*$C$32*$C$18/$C$29</x:f>
        <x:v>107167.77804900722</x:v>
      </x:c>
      <x:c r="L55" s="4" t="n">
        <x:f>L47*$C$32*$C$18/$C$29</x:f>
        <x:v>109311.13360998736</x:v>
      </x:c>
      <x:c r="M55" s="4" t="n">
        <x:f>M47*$C$32*$C$18/$C$29</x:f>
        <x:v>111497.35628218713</x:v>
      </x:c>
      <x:c r="N55" s="4" t="n">
        <x:f>N47*$C$32*$C$18/$C$29</x:f>
        <x:v>113727.30340783083</x:v>
      </x:c>
    </x:row>
    <x:row r="56" ht="31" customHeight="1">
      <x:c r="A56" s="23" t="str">
        <x:v>Net working capital</x:v>
      </x:c>
      <x:c r="B56" s="22"/>
      <x:c r="C56" s="22" t="n">
        <x:f>C53+C54-C55</x:f>
        <x:v>404533.3333333333</x:v>
      </x:c>
      <x:c r="D56" s="22" t="n">
        <x:f>D53+D54-D55</x:f>
        <x:v>412623.99999999994</x:v>
      </x:c>
      <x:c r="E56" s="22" t="n">
        <x:f>E53+E54-E55</x:f>
        <x:v>420876.48000000004</x:v>
      </x:c>
      <x:c r="F56" s="22" t="n">
        <x:f>F53+F54-F55</x:f>
        <x:v>429294.0096</x:v>
      </x:c>
      <x:c r="G56" s="22" t="n">
        <x:f>G53+G54-G55</x:f>
        <x:v>437879.889792</x:v>
      </x:c>
      <x:c r="H56" s="22" t="n">
        <x:f>H53+H54-H55</x:f>
        <x:v>446637.48758784</x:v>
      </x:c>
      <x:c r="I56" s="22" t="n">
        <x:f>I53+I54-I55</x:f>
        <x:v>455570.23733959685</x:v>
      </x:c>
      <x:c r="J56" s="22" t="n">
        <x:f>J53+J54-J55</x:f>
        <x:v>464681.6420863888</x:v>
      </x:c>
      <x:c r="K56" s="22" t="n">
        <x:f>K53+K54-K55</x:f>
        <x:v>473975.2749281164</x:v>
      </x:c>
      <x:c r="L56" s="22" t="n">
        <x:f>L53+L54-L55</x:f>
        <x:v>483454.78042667883</x:v>
      </x:c>
      <x:c r="M56" s="22" t="n">
        <x:f>M53+M54-M55</x:f>
        <x:v>493123.8760352124</x:v>
      </x:c>
      <x:c r="N56" s="22" t="n">
        <x:f>N53+N54-N55</x:f>
        <x:v>502986.35355591663</x:v>
      </x:c>
    </x:row>
    <x:row r="57" ht="31" customHeight="1">
      <x:c r="A57" s="10" t="str">
        <x:v>Increase in working capital</x:v>
      </x:c>
      <x:c r="B57" s="4"/>
      <x:c r="C57" s="4" t="n">
        <x:f>C56</x:f>
        <x:v>404533.3333333333</x:v>
      </x:c>
      <x:c r="D57" s="4" t="n">
        <x:f>D56-C56</x:f>
        <x:v>8090.666666666628</x:v>
      </x:c>
      <x:c r="E57" s="4" t="n">
        <x:f>E56-D56</x:f>
        <x:v>8252.480000000098</x:v>
      </x:c>
      <x:c r="F57" s="4" t="n">
        <x:f>F56-E56</x:f>
        <x:v>8417.52959999995</x:v>
      </x:c>
      <x:c r="G57" s="4" t="n">
        <x:f>G56-F56</x:f>
        <x:v>8585.880192000011</x:v>
      </x:c>
      <x:c r="H57" s="4" t="n">
        <x:f>H56-G56</x:f>
        <x:v>8757.597795840004</x:v>
      </x:c>
      <x:c r="I57" s="4" t="n">
        <x:f>I56-H56</x:f>
        <x:v>8932.74975175684</x:v>
      </x:c>
      <x:c r="J57" s="4" t="n">
        <x:f>J56-I56</x:f>
        <x:v>9111.40474679193</x:v>
      </x:c>
      <x:c r="K57" s="4" t="n">
        <x:f>K56-J56</x:f>
        <x:v>9293.632841727638</x:v>
      </x:c>
      <x:c r="L57" s="4" t="n">
        <x:f>L56-K56</x:f>
        <x:v>9479.505498562416</x:v>
      </x:c>
      <x:c r="M57" s="4" t="n">
        <x:f>M56-L56</x:f>
        <x:v>9669.095608533593</x:v>
      </x:c>
      <x:c r="N57" s="4" t="n">
        <x:f>N56-M56</x:f>
        <x:v>9862.477520704211</x:v>
      </x:c>
    </x:row>
    <x:row r="58" ht="31" customHeight="1">
      <x:c r="A58" s="10" t="str">
        <x:v>Opening debt</x:v>
      </x:c>
      <x:c r="B58" s="4"/>
      <x:c r="C58" s="4" t="n">
        <x:f>$C$19</x:f>
        <x:v>300000</x:v>
      </x:c>
      <x:c r="D58" s="4" t="n">
        <x:f>C61</x:f>
        <x:v>295000</x:v>
      </x:c>
      <x:c r="E58" s="4" t="n">
        <x:f>D61</x:f>
        <x:v>290000</x:v>
      </x:c>
      <x:c r="F58" s="4" t="n">
        <x:f>E61</x:f>
        <x:v>285000</x:v>
      </x:c>
      <x:c r="G58" s="4" t="n">
        <x:f>F61</x:f>
        <x:v>280000</x:v>
      </x:c>
      <x:c r="H58" s="4" t="n">
        <x:f>G61</x:f>
        <x:v>275000</x:v>
      </x:c>
      <x:c r="I58" s="4" t="n">
        <x:f>H61</x:f>
        <x:v>270000</x:v>
      </x:c>
      <x:c r="J58" s="4" t="n">
        <x:f>I61</x:f>
        <x:v>265000</x:v>
      </x:c>
      <x:c r="K58" s="4" t="n">
        <x:f>J61</x:f>
        <x:v>260000</x:v>
      </x:c>
      <x:c r="L58" s="4" t="n">
        <x:f>K61</x:f>
        <x:v>255000</x:v>
      </x:c>
      <x:c r="M58" s="4" t="n">
        <x:f>L61</x:f>
        <x:v>250000</x:v>
      </x:c>
      <x:c r="N58" s="4" t="n">
        <x:f>M61</x:f>
        <x:v>245000</x:v>
      </x:c>
    </x:row>
    <x:row r="59" ht="31" customHeight="1">
      <x:c r="A59" s="10" t="str">
        <x:v>Interest cash</x:v>
      </x:c>
      <x:c r="B59" s="4"/>
      <x:c r="C59" s="4" t="n">
        <x:f>C58*$C$20/$C$30</x:f>
        <x:v>3000</x:v>
      </x:c>
      <x:c r="D59" s="4" t="n">
        <x:f>D58*$C$20/$C$30</x:f>
        <x:v>2950</x:v>
      </x:c>
      <x:c r="E59" s="4" t="n">
        <x:f>E58*$C$20/$C$30</x:f>
        <x:v>2900</x:v>
      </x:c>
      <x:c r="F59" s="4" t="n">
        <x:f>F58*$C$20/$C$30</x:f>
        <x:v>2850</x:v>
      </x:c>
      <x:c r="G59" s="4" t="n">
        <x:f>G58*$C$20/$C$30</x:f>
        <x:v>2800</x:v>
      </x:c>
      <x:c r="H59" s="4" t="n">
        <x:f>H58*$C$20/$C$30</x:f>
        <x:v>2750</x:v>
      </x:c>
      <x:c r="I59" s="4" t="n">
        <x:f>I58*$C$20/$C$30</x:f>
        <x:v>2700</x:v>
      </x:c>
      <x:c r="J59" s="4" t="n">
        <x:f>J58*$C$20/$C$30</x:f>
        <x:v>2650</x:v>
      </x:c>
      <x:c r="K59" s="4" t="n">
        <x:f>K58*$C$20/$C$30</x:f>
        <x:v>2600</x:v>
      </x:c>
      <x:c r="L59" s="4" t="n">
        <x:f>L58*$C$20/$C$30</x:f>
        <x:v>2550</x:v>
      </x:c>
      <x:c r="M59" s="4" t="n">
        <x:f>M58*$C$20/$C$30</x:f>
        <x:v>2500</x:v>
      </x:c>
      <x:c r="N59" s="4" t="n">
        <x:f>N58*$C$20/$C$30</x:f>
        <x:v>2450</x:v>
      </x:c>
    </x:row>
    <x:row r="60" ht="31" customHeight="1">
      <x:c r="A60" s="10" t="str">
        <x:v>Principal repayment</x:v>
      </x:c>
      <x:c r="B60" s="4"/>
      <x:c r="C60" s="4" t="n">
        <x:f>MIN(C58,$C$19/$C$21)</x:f>
        <x:v>5000</x:v>
      </x:c>
      <x:c r="D60" s="4" t="n">
        <x:f>MIN(D58,$C$19/$C$21)</x:f>
        <x:v>5000</x:v>
      </x:c>
      <x:c r="E60" s="4" t="n">
        <x:f>MIN(E58,$C$19/$C$21)</x:f>
        <x:v>5000</x:v>
      </x:c>
      <x:c r="F60" s="4" t="n">
        <x:f>MIN(F58,$C$19/$C$21)</x:f>
        <x:v>5000</x:v>
      </x:c>
      <x:c r="G60" s="4" t="n">
        <x:f>MIN(G58,$C$19/$C$21)</x:f>
        <x:v>5000</x:v>
      </x:c>
      <x:c r="H60" s="4" t="n">
        <x:f>MIN(H58,$C$19/$C$21)</x:f>
        <x:v>5000</x:v>
      </x:c>
      <x:c r="I60" s="4" t="n">
        <x:f>MIN(I58,$C$19/$C$21)</x:f>
        <x:v>5000</x:v>
      </x:c>
      <x:c r="J60" s="4" t="n">
        <x:f>MIN(J58,$C$19/$C$21)</x:f>
        <x:v>5000</x:v>
      </x:c>
      <x:c r="K60" s="4" t="n">
        <x:f>MIN(K58,$C$19/$C$21)</x:f>
        <x:v>5000</x:v>
      </x:c>
      <x:c r="L60" s="4" t="n">
        <x:f>MIN(L58,$C$19/$C$21)</x:f>
        <x:v>5000</x:v>
      </x:c>
      <x:c r="M60" s="4" t="n">
        <x:f>MIN(M58,$C$19/$C$21)</x:f>
        <x:v>5000</x:v>
      </x:c>
      <x:c r="N60" s="4" t="n">
        <x:f>MIN(N58,$C$19/$C$21)</x:f>
        <x:v>5000</x:v>
      </x:c>
    </x:row>
    <x:row r="61" ht="31" customHeight="1">
      <x:c r="A61" s="10" t="str">
        <x:v>Closing debt</x:v>
      </x:c>
      <x:c r="B61" s="4"/>
      <x:c r="C61" s="4" t="n">
        <x:f>C58-C60</x:f>
        <x:v>295000</x:v>
      </x:c>
      <x:c r="D61" s="4" t="n">
        <x:f>D58-D60</x:f>
        <x:v>290000</x:v>
      </x:c>
      <x:c r="E61" s="4" t="n">
        <x:f>E58-E60</x:f>
        <x:v>285000</x:v>
      </x:c>
      <x:c r="F61" s="4" t="n">
        <x:f>F58-F60</x:f>
        <x:v>280000</x:v>
      </x:c>
      <x:c r="G61" s="4" t="n">
        <x:f>G58-G60</x:f>
        <x:v>275000</x:v>
      </x:c>
      <x:c r="H61" s="4" t="n">
        <x:f>H58-H60</x:f>
        <x:v>270000</x:v>
      </x:c>
      <x:c r="I61" s="4" t="n">
        <x:f>I58-I60</x:f>
        <x:v>265000</x:v>
      </x:c>
      <x:c r="J61" s="4" t="n">
        <x:f>J58-J60</x:f>
        <x:v>260000</x:v>
      </x:c>
      <x:c r="K61" s="4" t="n">
        <x:f>K58-K60</x:f>
        <x:v>255000</x:v>
      </x:c>
      <x:c r="L61" s="4" t="n">
        <x:f>L58-L60</x:f>
        <x:v>250000</x:v>
      </x:c>
      <x:c r="M61" s="4" t="n">
        <x:f>M58-M60</x:f>
        <x:v>245000</x:v>
      </x:c>
      <x:c r="N61" s="4" t="n">
        <x:f>N58-N60</x:f>
        <x:v>240000</x:v>
      </x:c>
    </x:row>
    <x:row r="62" ht="31" customHeight="1">
      <x:c r="A62" s="10" t="str">
        <x:v>Maintenance capital spend</x:v>
      </x:c>
      <x:c r="B62" s="4"/>
      <x:c r="C62" s="4" t="n">
        <x:f>$C$22</x:f>
        <x:v>1200</x:v>
      </x:c>
      <x:c r="D62" s="4" t="n">
        <x:f>$C$22</x:f>
        <x:v>1200</x:v>
      </x:c>
      <x:c r="E62" s="4" t="n">
        <x:f>$C$22</x:f>
        <x:v>1200</x:v>
      </x:c>
      <x:c r="F62" s="4" t="n">
        <x:f>$C$22</x:f>
        <x:v>1200</x:v>
      </x:c>
      <x:c r="G62" s="4" t="n">
        <x:f>$C$22</x:f>
        <x:v>1200</x:v>
      </x:c>
      <x:c r="H62" s="4" t="n">
        <x:f>$C$22</x:f>
        <x:v>1200</x:v>
      </x:c>
      <x:c r="I62" s="4" t="n">
        <x:f>$C$22</x:f>
        <x:v>1200</x:v>
      </x:c>
      <x:c r="J62" s="4" t="n">
        <x:f>$C$22</x:f>
        <x:v>1200</x:v>
      </x:c>
      <x:c r="K62" s="4" t="n">
        <x:f>$C$22</x:f>
        <x:v>1200</x:v>
      </x:c>
      <x:c r="L62" s="4" t="n">
        <x:f>$C$22</x:f>
        <x:v>1200</x:v>
      </x:c>
      <x:c r="M62" s="4" t="n">
        <x:f>$C$22</x:f>
        <x:v>1200</x:v>
      </x:c>
      <x:c r="N62" s="4" t="n">
        <x:f>$C$22</x:f>
        <x:v>1200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-218733.3333333333</x:v>
      </x:c>
      <x:c r="D66" s="22" t="n">
        <x:f>D50-D57-SUM(D59:D60)-SUM(D62:D65)</x:f>
        <x:v>188544.3333333333</x:v>
      </x:c>
      <x:c r="E66" s="22" t="n">
        <x:f>E50-E57-SUM(E59:E60)-SUM(E62:E65)</x:f>
        <x:v>199453.875</x:v>
      </x:c>
      <x:c r="F66" s="22" t="n">
        <x:f>F50-F57-SUM(F59:F60)-SUM(F62:F65)</x:f>
        <x:v>210601.32446500013</x:v>
      </x:c>
      <x:c r="G66" s="22" t="n">
        <x:f>G50-G57-SUM(G59:G60)-SUM(G62:G65)</x:f>
        <x:v>221991.50203519518</x:v>
      </x:c>
      <x:c r="H66" s="22" t="n">
        <x:f>H50-H57-SUM(H59:H60)-SUM(H62:H65)</x:f>
        <x:v>233629.32461003674</x:v>
      </x:c>
      <x:c r="I66" s="22" t="n">
        <x:f>I50-I57-SUM(I59:I60)-SUM(I62:I65)</x:f>
        <x:v>245519.80761397775</x:v>
      </x:c>
      <x:c r="J66" s="22" t="n">
        <x:f>J50-J57-SUM(J59:J60)-SUM(J62:J65)</x:f>
        <x:v>257668.06696753274</x:v>
      </x:c>
      <x:c r="K66" s="22" t="n">
        <x:f>K50-K57-SUM(K59:K60)-SUM(K62:K65)</x:f>
        <x:v>270079.3210977625</x:v>
      </x:c>
      <x:c r="L66" s="22" t="n">
        <x:f>L50-L57-SUM(L59:L60)-SUM(L62:L65)</x:f>
        <x:v>282758.89298896934</x:v>
      </x:c>
      <x:c r="M66" s="22" t="n">
        <x:f>M50-M57-SUM(M59:M60)-SUM(M62:M65)</x:f>
        <x:v>295712.2122744086</x:v>
      </x:c>
      <x:c r="N66" s="22" t="n">
        <x:f>N50-N57-SUM(N59:N60)-SUM(N62:N65)</x:f>
        <x:v>308944.8173698333</x:v>
      </x:c>
    </x:row>
    <x:row r="67" ht="31" customHeight="1">
      <x:c r="A67" s="10" t="str">
        <x:v>Opening cash</x:v>
      </x:c>
      <x:c r="B67" s="4"/>
      <x:c r="C67" s="4" t="n">
        <x:f>$C$15</x:f>
        <x:v>1200000</x:v>
      </x:c>
      <x:c r="D67" s="4" t="n">
        <x:f>C68</x:f>
        <x:v>981266.6666666667</x:v>
      </x:c>
      <x:c r="E67" s="4" t="n">
        <x:f>D68</x:f>
        <x:v>1169811</x:v>
      </x:c>
      <x:c r="F67" s="4" t="n">
        <x:f>E68</x:f>
        <x:v>1369264.875</x:v>
      </x:c>
      <x:c r="G67" s="4" t="n">
        <x:f>F68</x:f>
        <x:v>1579866.199465</x:v>
      </x:c>
      <x:c r="H67" s="4" t="n">
        <x:f>G68</x:f>
        <x:v>1801857.7015001953</x:v>
      </x:c>
      <x:c r="I67" s="4" t="n">
        <x:f>H68</x:f>
        <x:v>2035487.026110232</x:v>
      </x:c>
      <x:c r="J67" s="4" t="n">
        <x:f>I68</x:f>
        <x:v>2281006.83372421</x:v>
      </x:c>
      <x:c r="K67" s="4" t="n">
        <x:f>J68</x:f>
        <x:v>2538674.900691743</x:v>
      </x:c>
      <x:c r="L67" s="4" t="n">
        <x:f>K68</x:f>
        <x:v>2808754.2217895053</x:v>
      </x:c>
      <x:c r="M67" s="4" t="n">
        <x:f>L68</x:f>
        <x:v>3091513.114778475</x:v>
      </x:c>
      <x:c r="N67" s="4" t="n">
        <x:f>M68</x:f>
        <x:v>3387225.3270528833</x:v>
      </x:c>
    </x:row>
    <x:row r="68" ht="31" customHeight="1">
      <x:c r="A68" s="23" t="str">
        <x:v>Closing cash</x:v>
      </x:c>
      <x:c r="B68" s="22"/>
      <x:c r="C68" s="22" t="n">
        <x:f>C67+C66</x:f>
        <x:v>981266.6666666667</x:v>
      </x:c>
      <x:c r="D68" s="22" t="n">
        <x:f>D67+D66</x:f>
        <x:v>1169811</x:v>
      </x:c>
      <x:c r="E68" s="22" t="n">
        <x:f>E67+E66</x:f>
        <x:v>1369264.875</x:v>
      </x:c>
      <x:c r="F68" s="22" t="n">
        <x:f>F67+F66</x:f>
        <x:v>1579866.199465</x:v>
      </x:c>
      <x:c r="G68" s="22" t="n">
        <x:f>G67+G66</x:f>
        <x:v>1801857.7015001953</x:v>
      </x:c>
      <x:c r="H68" s="22" t="n">
        <x:f>H67+H66</x:f>
        <x:v>2035487.026110232</x:v>
      </x:c>
      <x:c r="I68" s="22" t="n">
        <x:f>I67+I66</x:f>
        <x:v>2281006.83372421</x:v>
      </x:c>
      <x:c r="J68" s="22" t="n">
        <x:f>J67+J66</x:f>
        <x:v>2538674.900691743</x:v>
      </x:c>
      <x:c r="K68" s="22" t="n">
        <x:f>K67+K66</x:f>
        <x:v>2808754.2217895053</x:v>
      </x:c>
      <x:c r="L68" s="22" t="n">
        <x:f>L67+L66</x:f>
        <x:v>3091513.114778475</x:v>
      </x:c>
      <x:c r="M68" s="22" t="n">
        <x:f>M67+M66</x:f>
        <x:v>3387225.3270528833</x:v>
      </x:c>
      <x:c r="N68" s="22" t="n">
        <x:f>N67+N66</x:f>
        <x:v>3696170.1444227165</x:v>
      </x:c>
    </x:row>
    <x:row r="69" ht="31" customHeight="1">
      <x:c r="A69" s="10" t="str">
        <x:v>Cash-buffer shortfall</x:v>
      </x:c>
      <x:c r="B69" s="4"/>
      <x:c r="C69" s="4" t="n">
        <x:f>MAX(0,$C$15-C68)</x:f>
        <x:v>218733.33333333326</x:v>
      </x:c>
      <x:c r="D69" s="4" t="n">
        <x:f>MAX(0,$C$15-D68)</x:f>
        <x:v>30189</x:v>
      </x:c>
      <x:c r="E69" s="4" t="n">
        <x:f>MAX(0,$C$15-E68)</x:f>
        <x:v>0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24.375</x:v>
      </x:c>
      <x:c r="D70" s="30" t="n">
        <x:f>IF(SUM(D59:D60)&gt;0,D50/SUM(D59:D60),"No debt")</x:f>
        <x:v>25.884905660377353</x:v>
      </x:c>
      <x:c r="E70" s="30" t="n">
        <x:f>IF(SUM(E59:E60)&gt;0,E50/SUM(E59:E60),"No debt")</x:f>
        <x:v>27.443842405063304</x:v>
      </x:c>
      <x:c r="F70" s="30" t="n">
        <x:f>IF(SUM(F59:F60)&gt;0,F50/SUM(F59:F60),"No debt")</x:f>
        <x:v>29.053357205732492</x:v>
      </x:c>
      <x:c r="G70" s="30" t="n">
        <x:f>IF(SUM(G59:G60)&gt;0,G50/SUM(G59:G60),"No debt")</x:f>
        <x:v>30.715049003486563</x:v>
      </x:c>
      <x:c r="H70" s="30" t="n">
        <x:f>IF(SUM(H59:H60)&gt;0,H50/SUM(H59:H60),"No debt")</x:f>
        <x:v>32.43057063301635</x:v>
      </x:c>
      <x:c r="I70" s="30" t="n">
        <x:f>IF(SUM(I59:I60)&gt;0,I50/SUM(I59:I60),"No debt")</x:f>
        <x:v>34.20163082671878</x:v>
      </x:c>
      <x:c r="J70" s="30" t="n">
        <x:f>IF(SUM(J59:J60)&gt;0,J50/SUM(J59:J60),"No debt")</x:f>
        <x:v>36.0299963025261</x:v>
      </x:c>
      <x:c r="K70" s="30" t="n">
        <x:f>IF(SUM(K59:K60)&gt;0,K50/SUM(K59:K60),"No debt")</x:f>
        <x:v>37.9174939394066</x:v>
      </x:c>
      <x:c r="L70" s="30" t="n">
        <x:f>IF(SUM(L59:L60)&gt;0,L50/SUM(L59:L60),"No debt")</x:f>
        <x:v>39.86601304470619</x:v>
      </x:c>
      <x:c r="M70" s="30" t="n">
        <x:f>IF(SUM(M59:M60)&gt;0,M50/SUM(M59:M60),"No debt")</x:f>
        <x:v>41.87750771772563</x:v>
      </x:c>
      <x:c r="N70" s="30" t="n">
        <x:f>IF(SUM(N59:N60)&gt;0,N50/SUM(N59:N60),"No debt")</x:f>
        <x:v>43.95399931416611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0.6153846153846154</x:v>
      </x:c>
      <x:c r="D71" s="20" t="n">
        <x:f>IF($C$10&gt;0,D43/$C$10,0)</x:f>
        <x:v>0.6276923076923077</x:v>
      </x:c>
      <x:c r="E71" s="20" t="n">
        <x:f>IF($C$10&gt;0,E43/$C$10,0)</x:f>
        <x:v>0.6402461538461538</x:v>
      </x:c>
      <x:c r="F71" s="20" t="n">
        <x:f>IF($C$10&gt;0,F43/$C$10,0)</x:f>
        <x:v>0.6530510769230768</x:v>
      </x:c>
      <x:c r="G71" s="20" t="n">
        <x:f>IF($C$10&gt;0,G43/$C$10,0)</x:f>
        <x:v>0.6661120984615384</x:v>
      </x:c>
      <x:c r="H71" s="20" t="n">
        <x:f>IF($C$10&gt;0,H43/$C$10,0)</x:f>
        <x:v>0.6794343404307693</x:v>
      </x:c>
      <x:c r="I71" s="20" t="n">
        <x:f>IF($C$10&gt;0,I43/$C$10,0)</x:f>
        <x:v>0.6930230272393847</x:v>
      </x:c>
      <x:c r="J71" s="20" t="n">
        <x:f>IF($C$10&gt;0,J43/$C$10,0)</x:f>
        <x:v>0.7068834877841722</x:v>
      </x:c>
      <x:c r="K71" s="20" t="n">
        <x:f>IF($C$10&gt;0,K43/$C$10,0)</x:f>
        <x:v>0.7210211575398556</x:v>
      </x:c>
      <x:c r="L71" s="20" t="n">
        <x:f>IF($C$10&gt;0,L43/$C$10,0)</x:f>
        <x:v>0.7354415806906528</x:v>
      </x:c>
      <x:c r="M71" s="20" t="n">
        <x:f>IF($C$10&gt;0,M43/$C$10,0)</x:f>
        <x:v>0.750150412304466</x:v>
      </x:c>
      <x:c r="N71" s="20" t="n">
        <x:f>IF($C$10&gt;0,N43/$C$10,0)</x:f>
        <x:v>0.7651534205505551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0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bf71fa7e5c514203"/>
</x:worksheet>
</file>

<file path=xl/worksheets/sheet1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Transport, Logistics &amp; Fleet Operator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95000</x:v>
      </x:c>
      <x:c r="D6" s="10" t="str">
        <x:v>billable kilometres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4560000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48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3040000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32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16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1200000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1520000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140000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320000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0.3333333333333333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75000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14000000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3599999.9999999995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400000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0.6785714285714286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2500000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17100000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45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7600000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5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3648000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9500000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972799.9999999998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-227200.00000000023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4560000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28000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61159129.16026034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5746384.271500921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-2143848.1021612617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-3254889.599999999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3254889.599999999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5754889.6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95000</x:v>
      </x:c>
      <x:c r="D43" s="4" t="n">
        <x:f>MIN($C$10,$C$6*(1+$C$11)^1)</x:f>
        <x:v>96900</x:v>
      </x:c>
      <x:c r="E43" s="4" t="n">
        <x:f>MIN($C$10,$C$6*(1+$C$11)^2)</x:f>
        <x:v>98838</x:v>
      </x:c>
      <x:c r="F43" s="4" t="n">
        <x:f>MIN($C$10,$C$6*(1+$C$11)^3)</x:f>
        <x:v>100814.76</x:v>
      </x:c>
      <x:c r="G43" s="4" t="n">
        <x:f>MIN($C$10,$C$6*(1+$C$11)^4)</x:f>
        <x:v>102831.0552</x:v>
      </x:c>
      <x:c r="H43" s="4" t="n">
        <x:f>MIN($C$10,$C$6*(1+$C$11)^5)</x:f>
        <x:v>104887.67630400001</x:v>
      </x:c>
      <x:c r="I43" s="4" t="n">
        <x:f>MIN($C$10,$C$6*(1+$C$11)^6)</x:f>
        <x:v>106985.42983008</x:v>
      </x:c>
      <x:c r="J43" s="4" t="n">
        <x:f>MIN($C$10,$C$6*(1+$C$11)^7)</x:f>
        <x:v>109125.13842668159</x:v>
      </x:c>
      <x:c r="K43" s="4" t="n">
        <x:f>MIN($C$10,$C$6*(1+$C$11)^8)</x:f>
        <x:v>111307.64119521523</x:v>
      </x:c>
      <x:c r="L43" s="4" t="n">
        <x:f>MIN($C$10,$C$6*(1+$C$11)^9)</x:f>
        <x:v>113533.79401911952</x:v>
      </x:c>
      <x:c r="M43" s="4" t="n">
        <x:f>MIN($C$10,$C$6*(1+$C$11)^10)</x:f>
        <x:v>115804.46989950193</x:v>
      </x:c>
      <x:c r="N43" s="4" t="n">
        <x:f>MIN($C$10,$C$6*(1+$C$11)^11)</x:f>
        <x:v>118120.55929749194</x:v>
      </x:c>
    </x:row>
    <x:row r="44" ht="31" customHeight="1">
      <x:c r="A44" s="10" t="str">
        <x:v>Net unit price</x:v>
      </x:c>
      <x:c r="B44" s="4"/>
      <x:c r="C44" s="4" t="n">
        <x:f>$C$7*(1+$C$34)^0</x:f>
        <x:v>48</x:v>
      </x:c>
      <x:c r="D44" s="4" t="n">
        <x:f>$C$7*(1+$C$34)^1</x:f>
        <x:v>48</x:v>
      </x:c>
      <x:c r="E44" s="4" t="n">
        <x:f>$C$7*(1+$C$34)^2</x:f>
        <x:v>48</x:v>
      </x:c>
      <x:c r="F44" s="4" t="n">
        <x:f>$C$7*(1+$C$34)^3</x:f>
        <x:v>48</x:v>
      </x:c>
      <x:c r="G44" s="4" t="n">
        <x:f>$C$7*(1+$C$34)^4</x:f>
        <x:v>48</x:v>
      </x:c>
      <x:c r="H44" s="4" t="n">
        <x:f>$C$7*(1+$C$34)^5</x:f>
        <x:v>48</x:v>
      </x:c>
      <x:c r="I44" s="4" t="n">
        <x:f>$C$7*(1+$C$34)^6</x:f>
        <x:v>48</x:v>
      </x:c>
      <x:c r="J44" s="4" t="n">
        <x:f>$C$7*(1+$C$34)^7</x:f>
        <x:v>48</x:v>
      </x:c>
      <x:c r="K44" s="4" t="n">
        <x:f>$C$7*(1+$C$34)^8</x:f>
        <x:v>48</x:v>
      </x:c>
      <x:c r="L44" s="4" t="n">
        <x:f>$C$7*(1+$C$34)^9</x:f>
        <x:v>48</x:v>
      </x:c>
      <x:c r="M44" s="4" t="n">
        <x:f>$C$7*(1+$C$34)^10</x:f>
        <x:v>48</x:v>
      </x:c>
      <x:c r="N44" s="4" t="n">
        <x:f>$C$7*(1+$C$34)^11</x:f>
        <x:v>48</x:v>
      </x:c>
    </x:row>
    <x:row r="45" ht="31" customHeight="1">
      <x:c r="A45" s="23" t="str">
        <x:v>Net revenue</x:v>
      </x:c>
      <x:c r="B45" s="22"/>
      <x:c r="C45" s="22" t="n">
        <x:f>C43*C44</x:f>
        <x:v>4560000</x:v>
      </x:c>
      <x:c r="D45" s="22" t="n">
        <x:f>D43*D44</x:f>
        <x:v>4651200</x:v>
      </x:c>
      <x:c r="E45" s="22" t="n">
        <x:f>E43*E44</x:f>
        <x:v>4744224</x:v>
      </x:c>
      <x:c r="F45" s="22" t="n">
        <x:f>F43*F44</x:f>
        <x:v>4839108.4799999995</x:v>
      </x:c>
      <x:c r="G45" s="22" t="n">
        <x:f>G43*G44</x:f>
        <x:v>4935890.6496</x:v>
      </x:c>
      <x:c r="H45" s="22" t="n">
        <x:f>H43*H44</x:f>
        <x:v>5034608.462592</x:v>
      </x:c>
      <x:c r="I45" s="22" t="n">
        <x:f>I43*I44</x:f>
        <x:v>5135300.63184384</x:v>
      </x:c>
      <x:c r="J45" s="22" t="n">
        <x:f>J43*J44</x:f>
        <x:v>5238006.644480716</x:v>
      </x:c>
      <x:c r="K45" s="22" t="n">
        <x:f>K43*K44</x:f>
        <x:v>5342766.777370331</x:v>
      </x:c>
      <x:c r="L45" s="22" t="n">
        <x:f>L43*L44</x:f>
        <x:v>5449622.112917737</x:v>
      </x:c>
      <x:c r="M45" s="22" t="n">
        <x:f>M43*M44</x:f>
        <x:v>5558614.555176092</x:v>
      </x:c>
      <x:c r="N45" s="22" t="n">
        <x:f>N43*N44</x:f>
        <x:v>5669786.846279614</x:v>
      </x:c>
    </x:row>
    <x:row r="46" ht="31" customHeight="1">
      <x:c r="A46" s="10" t="str">
        <x:v>Variable cost per unit</x:v>
      </x:c>
      <x:c r="B46" s="4"/>
      <x:c r="C46" s="4" t="n">
        <x:f>$C$8</x:f>
        <x:v>32</x:v>
      </x:c>
      <x:c r="D46" s="4" t="n">
        <x:f>$C$8</x:f>
        <x:v>32</x:v>
      </x:c>
      <x:c r="E46" s="4" t="n">
        <x:f>$C$8</x:f>
        <x:v>32</x:v>
      </x:c>
      <x:c r="F46" s="4" t="n">
        <x:f>$C$8</x:f>
        <x:v>32</x:v>
      </x:c>
      <x:c r="G46" s="4" t="n">
        <x:f>$C$8</x:f>
        <x:v>32</x:v>
      </x:c>
      <x:c r="H46" s="4" t="n">
        <x:f>$C$8</x:f>
        <x:v>32</x:v>
      </x:c>
      <x:c r="I46" s="4" t="n">
        <x:f>$C$8</x:f>
        <x:v>32</x:v>
      </x:c>
      <x:c r="J46" s="4" t="n">
        <x:f>$C$8</x:f>
        <x:v>32</x:v>
      </x:c>
      <x:c r="K46" s="4" t="n">
        <x:f>$C$8</x:f>
        <x:v>32</x:v>
      </x:c>
      <x:c r="L46" s="4" t="n">
        <x:f>$C$8</x:f>
        <x:v>32</x:v>
      </x:c>
      <x:c r="M46" s="4" t="n">
        <x:f>$C$8</x:f>
        <x:v>32</x:v>
      </x:c>
      <x:c r="N46" s="4" t="n">
        <x:f>$C$8</x:f>
        <x:v>32</x:v>
      </x:c>
    </x:row>
    <x:row r="47" ht="31" customHeight="1">
      <x:c r="A47" s="10" t="str">
        <x:v>Variable cash cost</x:v>
      </x:c>
      <x:c r="B47" s="4"/>
      <x:c r="C47" s="4" t="n">
        <x:f>C43*C46</x:f>
        <x:v>3040000</x:v>
      </x:c>
      <x:c r="D47" s="4" t="n">
        <x:f>D43*D46</x:f>
        <x:v>3100800</x:v>
      </x:c>
      <x:c r="E47" s="4" t="n">
        <x:f>E43*E46</x:f>
        <x:v>3162816</x:v>
      </x:c>
      <x:c r="F47" s="4" t="n">
        <x:f>F43*F46</x:f>
        <x:v>3226072.32</x:v>
      </x:c>
      <x:c r="G47" s="4" t="n">
        <x:f>G43*G46</x:f>
        <x:v>3290593.7664</x:v>
      </x:c>
      <x:c r="H47" s="4" t="n">
        <x:f>H43*H46</x:f>
        <x:v>3356405.6417280002</x:v>
      </x:c>
      <x:c r="I47" s="4" t="n">
        <x:f>I43*I46</x:f>
        <x:v>3423533.75456256</x:v>
      </x:c>
      <x:c r="J47" s="4" t="n">
        <x:f>J43*J46</x:f>
        <x:v>3492004.429653811</x:v>
      </x:c>
      <x:c r="K47" s="4" t="n">
        <x:f>K43*K46</x:f>
        <x:v>3561844.5182468873</x:v>
      </x:c>
      <x:c r="L47" s="4" t="n">
        <x:f>L43*L46</x:f>
        <x:v>3633081.4086118247</x:v>
      </x:c>
      <x:c r="M47" s="4" t="n">
        <x:f>M43*M46</x:f>
        <x:v>3705743.0367840617</x:v>
      </x:c>
      <x:c r="N47" s="4" t="n">
        <x:f>N43*N46</x:f>
        <x:v>3779857.897519742</x:v>
      </x:c>
    </x:row>
    <x:row r="48" ht="31" customHeight="1">
      <x:c r="A48" s="10" t="str">
        <x:v>Contribution</x:v>
      </x:c>
      <x:c r="B48" s="4"/>
      <x:c r="C48" s="4" t="n">
        <x:f>C45-C47</x:f>
        <x:v>1520000</x:v>
      </x:c>
      <x:c r="D48" s="4" t="n">
        <x:f>D45-D47</x:f>
        <x:v>1550400</x:v>
      </x:c>
      <x:c r="E48" s="4" t="n">
        <x:f>E45-E47</x:f>
        <x:v>1581408</x:v>
      </x:c>
      <x:c r="F48" s="4" t="n">
        <x:f>F45-F47</x:f>
        <x:v>1613036.1599999997</x:v>
      </x:c>
      <x:c r="G48" s="4" t="n">
        <x:f>G45-G47</x:f>
        <x:v>1645296.8832</x:v>
      </x:c>
      <x:c r="H48" s="4" t="n">
        <x:f>H45-H47</x:f>
        <x:v>1678202.820864</x:v>
      </x:c>
      <x:c r="I48" s="4" t="n">
        <x:f>I45-I47</x:f>
        <x:v>1711766.8772812798</x:v>
      </x:c>
      <x:c r="J48" s="4" t="n">
        <x:f>J45-J47</x:f>
        <x:v>1746002.2148269056</x:v>
      </x:c>
      <x:c r="K48" s="4" t="n">
        <x:f>K45-K47</x:f>
        <x:v>1780922.2591234436</x:v>
      </x:c>
      <x:c r="L48" s="4" t="n">
        <x:f>L45-L47</x:f>
        <x:v>1816540.7043059124</x:v>
      </x:c>
      <x:c r="M48" s="4" t="n">
        <x:f>M45-M47</x:f>
        <x:v>1852871.5183920306</x:v>
      </x:c>
      <x:c r="N48" s="4" t="n">
        <x:f>N45-N47</x:f>
        <x:v>1889928.9487598715</x:v>
      </x:c>
    </x:row>
    <x:row r="49" ht="31" customHeight="1">
      <x:c r="A49" s="10" t="str">
        <x:v>Fixed cash costs</x:v>
      </x:c>
      <x:c r="B49" s="4"/>
      <x:c r="C49" s="4" t="n">
        <x:f>$C$9*(1+$C$12)^0</x:f>
        <x:v>1200000</x:v>
      </x:c>
      <x:c r="D49" s="4" t="n">
        <x:f>$C$9*(1+$C$12)^1</x:f>
        <x:v>1203599.9999999998</x:v>
      </x:c>
      <x:c r="E49" s="4" t="n">
        <x:f>$C$9*(1+$C$12)^2</x:f>
        <x:v>1207210.7999999996</x:v>
      </x:c>
      <x:c r="F49" s="4" t="n">
        <x:f>$C$9*(1+$C$12)^3</x:f>
        <x:v>1210832.4323999996</x:v>
      </x:c>
      <x:c r="G49" s="4" t="n">
        <x:f>$C$9*(1+$C$12)^4</x:f>
        <x:v>1214464.9296971995</x:v>
      </x:c>
      <x:c r="H49" s="4" t="n">
        <x:f>$C$9*(1+$C$12)^5</x:f>
        <x:v>1218108.324486291</x:v>
      </x:c>
      <x:c r="I49" s="4" t="n">
        <x:f>$C$9*(1+$C$12)^6</x:f>
        <x:v>1221762.6494597495</x:v>
      </x:c>
      <x:c r="J49" s="4" t="n">
        <x:f>$C$9*(1+$C$12)^7</x:f>
        <x:v>1225427.9374081285</x:v>
      </x:c>
      <x:c r="K49" s="4" t="n">
        <x:f>$C$9*(1+$C$12)^8</x:f>
        <x:v>1229104.221220353</x:v>
      </x:c>
      <x:c r="L49" s="4" t="n">
        <x:f>$C$9*(1+$C$12)^9</x:f>
        <x:v>1232791.5338840138</x:v>
      </x:c>
      <x:c r="M49" s="4" t="n">
        <x:f>$C$9*(1+$C$12)^10</x:f>
        <x:v>1236489.9084856655</x:v>
      </x:c>
      <x:c r="N49" s="4" t="n">
        <x:f>$C$9*(1+$C$12)^11</x:f>
        <x:v>1240199.3782111227</x:v>
      </x:c>
    </x:row>
    <x:row r="50" ht="31" customHeight="1">
      <x:c r="A50" s="23" t="str">
        <x:v>Operating cash profit (EBITDA)</x:v>
      </x:c>
      <x:c r="B50" s="22"/>
      <x:c r="C50" s="22" t="n">
        <x:f>C48-C49</x:f>
        <x:v>320000</x:v>
      </x:c>
      <x:c r="D50" s="22" t="n">
        <x:f>D48-D49</x:f>
        <x:v>346800.00000000023</x:v>
      </x:c>
      <x:c r="E50" s="22" t="n">
        <x:f>E48-E49</x:f>
        <x:v>374197.2000000004</x:v>
      </x:c>
      <x:c r="F50" s="22" t="n">
        <x:f>F48-F49</x:f>
        <x:v>402203.7276000001</x:v>
      </x:c>
      <x:c r="G50" s="22" t="n">
        <x:f>G48-G49</x:f>
        <x:v>430831.95350280055</x:v>
      </x:c>
      <x:c r="H50" s="22" t="n">
        <x:f>H48-H49</x:f>
        <x:v>460094.49637770886</x:v>
      </x:c>
      <x:c r="I50" s="22" t="n">
        <x:f>I48-I49</x:f>
        <x:v>490004.2278215303</x:v>
      </x:c>
      <x:c r="J50" s="22" t="n">
        <x:f>J48-J49</x:f>
        <x:v>520574.2774187771</x:v>
      </x:c>
      <x:c r="K50" s="22" t="n">
        <x:f>K48-K49</x:f>
        <x:v>551818.0379030907</x:v>
      </x:c>
      <x:c r="L50" s="22" t="n">
        <x:f>L48-L49</x:f>
        <x:v>583749.1704218986</x:v>
      </x:c>
      <x:c r="M50" s="22" t="n">
        <x:f>M48-M49</x:f>
        <x:v>616381.6099063652</x:v>
      </x:c>
      <x:c r="N50" s="22" t="n">
        <x:f>N48-N49</x:f>
        <x:v>649729.5705487488</x:v>
      </x:c>
    </x:row>
    <x:row r="51" ht="31" customHeight="1">
      <x:c r="A51" s="10" t="str">
        <x:v>Planning depreciation</x:v>
      </x:c>
      <x:c r="B51" s="4"/>
      <x:c r="C51" s="4" t="n">
        <x:f>$C$13/$C$33/$C$30</x:f>
        <x:v>233333.33333333334</x:v>
      </x:c>
      <x:c r="D51" s="4" t="n">
        <x:f>$C$13/$C$33/$C$30</x:f>
        <x:v>233333.33333333334</x:v>
      </x:c>
      <x:c r="E51" s="4" t="n">
        <x:f>$C$13/$C$33/$C$30</x:f>
        <x:v>233333.33333333334</x:v>
      </x:c>
      <x:c r="F51" s="4" t="n">
        <x:f>$C$13/$C$33/$C$30</x:f>
        <x:v>233333.33333333334</x:v>
      </x:c>
      <x:c r="G51" s="4" t="n">
        <x:f>$C$13/$C$33/$C$30</x:f>
        <x:v>233333.33333333334</x:v>
      </x:c>
      <x:c r="H51" s="4" t="n">
        <x:f>$C$13/$C$33/$C$30</x:f>
        <x:v>233333.33333333334</x:v>
      </x:c>
      <x:c r="I51" s="4" t="n">
        <x:f>$C$13/$C$33/$C$30</x:f>
        <x:v>233333.33333333334</x:v>
      </x:c>
      <x:c r="J51" s="4" t="n">
        <x:f>$C$13/$C$33/$C$30</x:f>
        <x:v>233333.33333333334</x:v>
      </x:c>
      <x:c r="K51" s="4" t="n">
        <x:f>$C$13/$C$33/$C$30</x:f>
        <x:v>233333.33333333334</x:v>
      </x:c>
      <x:c r="L51" s="4" t="n">
        <x:f>$C$13/$C$33/$C$30</x:f>
        <x:v>233333.33333333334</x:v>
      </x:c>
      <x:c r="M51" s="4" t="n">
        <x:f>$C$13/$C$33/$C$30</x:f>
        <x:v>233333.33333333334</x:v>
      </x:c>
      <x:c r="N51" s="4" t="n">
        <x:f>$C$13/$C$33/$C$30</x:f>
        <x:v>233333.33333333334</x:v>
      </x:c>
    </x:row>
    <x:row r="52" ht="31" customHeight="1">
      <x:c r="A52" s="10" t="str">
        <x:v>Operating profit (EBIT)</x:v>
      </x:c>
      <x:c r="B52" s="4"/>
      <x:c r="C52" s="4" t="n">
        <x:f>C50-C51</x:f>
        <x:v>86666.66666666666</x:v>
      </x:c>
      <x:c r="D52" s="4" t="n">
        <x:f>D50-D51</x:f>
        <x:v>113466.66666666689</x:v>
      </x:c>
      <x:c r="E52" s="4" t="n">
        <x:f>E50-E51</x:f>
        <x:v>140863.86666666708</x:v>
      </x:c>
      <x:c r="F52" s="4" t="n">
        <x:f>F50-F51</x:f>
        <x:v>168870.39426666676</x:v>
      </x:c>
      <x:c r="G52" s="4" t="n">
        <x:f>G50-G51</x:f>
        <x:v>197498.6201694672</x:v>
      </x:c>
      <x:c r="H52" s="4" t="n">
        <x:f>H50-H51</x:f>
        <x:v>226761.1630443755</x:v>
      </x:c>
      <x:c r="I52" s="4" t="n">
        <x:f>I50-I51</x:f>
        <x:v>256670.89448819697</x:v>
      </x:c>
      <x:c r="J52" s="4" t="n">
        <x:f>J50-J51</x:f>
        <x:v>287240.94408544374</x:v>
      </x:c>
      <x:c r="K52" s="4" t="n">
        <x:f>K50-K51</x:f>
        <x:v>318484.70456975733</x:v>
      </x:c>
      <x:c r="L52" s="4" t="n">
        <x:f>L50-L51</x:f>
        <x:v>350415.8370885652</x:v>
      </x:c>
      <x:c r="M52" s="4" t="n">
        <x:f>M50-M51</x:f>
        <x:v>383048.2765730318</x:v>
      </x:c>
      <x:c r="N52" s="4" t="n">
        <x:f>N50-N51</x:f>
        <x:v>416396.23721541546</x:v>
      </x:c>
    </x:row>
    <x:row r="53" ht="31" customHeight="1">
      <x:c r="A53" s="10" t="str">
        <x:v>Receivables</x:v>
      </x:c>
      <x:c r="B53" s="4"/>
      <x:c r="C53" s="4" t="n">
        <x:f>C45*$C$16/$C$29</x:f>
        <x:v>6840000</x:v>
      </x:c>
      <x:c r="D53" s="4" t="n">
        <x:f>D45*$C$16/$C$29</x:f>
        <x:v>6976800</x:v>
      </x:c>
      <x:c r="E53" s="4" t="n">
        <x:f>E45*$C$16/$C$29</x:f>
        <x:v>7116336</x:v>
      </x:c>
      <x:c r="F53" s="4" t="n">
        <x:f>F45*$C$16/$C$29</x:f>
        <x:v>7258662.719999999</x:v>
      </x:c>
      <x:c r="G53" s="4" t="n">
        <x:f>G45*$C$16/$C$29</x:f>
        <x:v>7403835.9744</x:v>
      </x:c>
      <x:c r="H53" s="4" t="n">
        <x:f>H45*$C$16/$C$29</x:f>
        <x:v>7551912.693888</x:v>
      </x:c>
      <x:c r="I53" s="4" t="n">
        <x:f>I45*$C$16/$C$29</x:f>
        <x:v>7702950.947765759</x:v>
      </x:c>
      <x:c r="J53" s="4" t="n">
        <x:f>J45*$C$16/$C$29</x:f>
        <x:v>7857009.966721075</x:v>
      </x:c>
      <x:c r="K53" s="4" t="n">
        <x:f>K45*$C$16/$C$29</x:f>
        <x:v>8014150.166055497</x:v>
      </x:c>
      <x:c r="L53" s="4" t="n">
        <x:f>L45*$C$16/$C$29</x:f>
        <x:v>8174433.169376606</x:v>
      </x:c>
      <x:c r="M53" s="4" t="n">
        <x:f>M45*$C$16/$C$29</x:f>
        <x:v>8337921.8327641385</x:v>
      </x:c>
      <x:c r="N53" s="4" t="n">
        <x:f>N45*$C$16/$C$29</x:f>
        <x:v>8504680.26941942</x:v>
      </x:c>
    </x:row>
    <x:row r="54" ht="31" customHeight="1">
      <x:c r="A54" s="10" t="str">
        <x:v>Own inventory</x:v>
      </x:c>
      <x:c r="B54" s="4"/>
      <x:c r="C54" s="4" t="n">
        <x:f>C47*$C$31*$C$17/$C$29</x:f>
        <x:v>304000</x:v>
      </x:c>
      <x:c r="D54" s="4" t="n">
        <x:f>D47*$C$31*$C$17/$C$29</x:f>
        <x:v>310080</x:v>
      </x:c>
      <x:c r="E54" s="4" t="n">
        <x:f>E47*$C$31*$C$17/$C$29</x:f>
        <x:v>316281.6</x:v>
      </x:c>
      <x:c r="F54" s="4" t="n">
        <x:f>F47*$C$31*$C$17/$C$29</x:f>
        <x:v>322607.23199999996</x:v>
      </x:c>
      <x:c r="G54" s="4" t="n">
        <x:f>G47*$C$31*$C$17/$C$29</x:f>
        <x:v>329059.37664000003</x:v>
      </x:c>
      <x:c r="H54" s="4" t="n">
        <x:f>H47*$C$31*$C$17/$C$29</x:f>
        <x:v>335640.5641728</x:v>
      </x:c>
      <x:c r="I54" s="4" t="n">
        <x:f>I47*$C$31*$C$17/$C$29</x:f>
        <x:v>342353.375456256</x:v>
      </x:c>
      <x:c r="J54" s="4" t="n">
        <x:f>J47*$C$31*$C$17/$C$29</x:f>
        <x:v>349200.4429653811</x:v>
      </x:c>
      <x:c r="K54" s="4" t="n">
        <x:f>K47*$C$31*$C$17/$C$29</x:f>
        <x:v>356184.4518246887</x:v>
      </x:c>
      <x:c r="L54" s="4" t="n">
        <x:f>L47*$C$31*$C$17/$C$29</x:f>
        <x:v>363308.1408611825</x:v>
      </x:c>
      <x:c r="M54" s="4" t="n">
        <x:f>M47*$C$31*$C$17/$C$29</x:f>
        <x:v>370574.30367840617</x:v>
      </x:c>
      <x:c r="N54" s="4" t="n">
        <x:f>N47*$C$31*$C$17/$C$29</x:f>
        <x:v>377985.78975197417</x:v>
      </x:c>
    </x:row>
    <x:row r="55" ht="31" customHeight="1">
      <x:c r="A55" s="10" t="str">
        <x:v>Supplier payables</x:v>
      </x:c>
      <x:c r="B55" s="4"/>
      <x:c r="C55" s="4" t="n">
        <x:f>C47*$C$32*$C$18/$C$29</x:f>
        <x:v>1418666.6666666667</x:v>
      </x:c>
      <x:c r="D55" s="4" t="n">
        <x:f>D47*$C$32*$C$18/$C$29</x:f>
        <x:v>1447040</x:v>
      </x:c>
      <x:c r="E55" s="4" t="n">
        <x:f>E47*$C$32*$C$18/$C$29</x:f>
        <x:v>1475980.7999999998</x:v>
      </x:c>
      <x:c r="F55" s="4" t="n">
        <x:f>F47*$C$32*$C$18/$C$29</x:f>
        <x:v>1505500.416</x:v>
      </x:c>
      <x:c r="G55" s="4" t="n">
        <x:f>G47*$C$32*$C$18/$C$29</x:f>
        <x:v>1535610.42432</x:v>
      </x:c>
      <x:c r="H55" s="4" t="n">
        <x:f>H47*$C$32*$C$18/$C$29</x:f>
        <x:v>1566322.6328064003</x:v>
      </x:c>
      <x:c r="I55" s="4" t="n">
        <x:f>I47*$C$32*$C$18/$C$29</x:f>
        <x:v>1597649.085462528</x:v>
      </x:c>
      <x:c r="J55" s="4" t="n">
        <x:f>J47*$C$32*$C$18/$C$29</x:f>
        <x:v>1629602.0671717783</x:v>
      </x:c>
      <x:c r="K55" s="4" t="n">
        <x:f>K47*$C$32*$C$18/$C$29</x:f>
        <x:v>1662194.108515214</x:v>
      </x:c>
      <x:c r="L55" s="4" t="n">
        <x:f>L47*$C$32*$C$18/$C$29</x:f>
        <x:v>1695437.9906855181</x:v>
      </x:c>
      <x:c r="M55" s="4" t="n">
        <x:f>M47*$C$32*$C$18/$C$29</x:f>
        <x:v>1729346.7504992287</x:v>
      </x:c>
      <x:c r="N55" s="4" t="n">
        <x:f>N47*$C$32*$C$18/$C$29</x:f>
        <x:v>1763933.6855092128</x:v>
      </x:c>
    </x:row>
    <x:row r="56" ht="31" customHeight="1">
      <x:c r="A56" s="23" t="str">
        <x:v>Net working capital</x:v>
      </x:c>
      <x:c r="B56" s="22"/>
      <x:c r="C56" s="22" t="n">
        <x:f>C53+C54-C55</x:f>
        <x:v>5725333.333333333</x:v>
      </x:c>
      <x:c r="D56" s="22" t="n">
        <x:f>D53+D54-D55</x:f>
        <x:v>5839840</x:v>
      </x:c>
      <x:c r="E56" s="22" t="n">
        <x:f>E53+E54-E55</x:f>
        <x:v>5956636.8</x:v>
      </x:c>
      <x:c r="F56" s="22" t="n">
        <x:f>F53+F54-F55</x:f>
        <x:v>6075769.535999998</x:v>
      </x:c>
      <x:c r="G56" s="22" t="n">
        <x:f>G53+G54-G55</x:f>
        <x:v>6197284.92672</x:v>
      </x:c>
      <x:c r="H56" s="22" t="n">
        <x:f>H53+H54-H55</x:f>
        <x:v>6321230.6252544</x:v>
      </x:c>
      <x:c r="I56" s="22" t="n">
        <x:f>I53+I54-I55</x:f>
        <x:v>6447655.237759487</x:v>
      </x:c>
      <x:c r="J56" s="22" t="n">
        <x:f>J53+J54-J55</x:f>
        <x:v>6576608.342514677</x:v>
      </x:c>
      <x:c r="K56" s="22" t="n">
        <x:f>K53+K54-K55</x:f>
        <x:v>6708140.509364971</x:v>
      </x:c>
      <x:c r="L56" s="22" t="n">
        <x:f>L53+L54-L55</x:f>
        <x:v>6842303.31955227</x:v>
      </x:c>
      <x:c r="M56" s="22" t="n">
        <x:f>M53+M54-M55</x:f>
        <x:v>6979149.385943315</x:v>
      </x:c>
      <x:c r="N56" s="22" t="n">
        <x:f>N53+N54-N55</x:f>
        <x:v>7118732.373662183</x:v>
      </x:c>
    </x:row>
    <x:row r="57" ht="31" customHeight="1">
      <x:c r="A57" s="10" t="str">
        <x:v>Increase in working capital</x:v>
      </x:c>
      <x:c r="B57" s="4"/>
      <x:c r="C57" s="4" t="n">
        <x:f>C56</x:f>
        <x:v>5725333.333333333</x:v>
      </x:c>
      <x:c r="D57" s="4" t="n">
        <x:f>D56-C56</x:f>
        <x:v>114506.66666666698</x:v>
      </x:c>
      <x:c r="E57" s="4" t="n">
        <x:f>E56-D56</x:f>
        <x:v>116796.79999999981</x:v>
      </x:c>
      <x:c r="F57" s="4" t="n">
        <x:f>F56-E56</x:f>
        <x:v>119132.73599999864</x:v>
      </x:c>
      <x:c r="G57" s="4" t="n">
        <x:f>G56-F56</x:f>
        <x:v>121515.39072000142</x:v>
      </x:c>
      <x:c r="H57" s="4" t="n">
        <x:f>H56-G56</x:f>
        <x:v>123945.6985344002</x:v>
      </x:c>
      <x:c r="I57" s="4" t="n">
        <x:f>I56-H56</x:f>
        <x:v>126424.6125050867</x:v>
      </x:c>
      <x:c r="J57" s="4" t="n">
        <x:f>J56-I56</x:f>
        <x:v>128953.1047551902</x:v>
      </x:c>
      <x:c r="K57" s="4" t="n">
        <x:f>K56-J56</x:f>
        <x:v>131532.166850294</x:v>
      </x:c>
      <x:c r="L57" s="4" t="n">
        <x:f>L56-K56</x:f>
        <x:v>134162.8101872988</x:v>
      </x:c>
      <x:c r="M57" s="4" t="n">
        <x:f>M56-L56</x:f>
        <x:v>136846.06639104523</x:v>
      </x:c>
      <x:c r="N57" s="4" t="n">
        <x:f>N56-M56</x:f>
        <x:v>139582.98771886807</x:v>
      </x:c>
    </x:row>
    <x:row r="58" ht="31" customHeight="1">
      <x:c r="A58" s="10" t="str">
        <x:v>Opening debt</x:v>
      </x:c>
      <x:c r="B58" s="4"/>
      <x:c r="C58" s="4" t="n">
        <x:f>$C$19</x:f>
        <x:v>9500000</x:v>
      </x:c>
      <x:c r="D58" s="4" t="n">
        <x:f>C61</x:f>
        <x:v>9341666.666666666</x:v>
      </x:c>
      <x:c r="E58" s="4" t="n">
        <x:f>D61</x:f>
        <x:v>9183333.333333332</x:v>
      </x:c>
      <x:c r="F58" s="4" t="n">
        <x:f>E61</x:f>
        <x:v>9024999.999999998</x:v>
      </x:c>
      <x:c r="G58" s="4" t="n">
        <x:f>F61</x:f>
        <x:v>8866666.666666664</x:v>
      </x:c>
      <x:c r="H58" s="4" t="n">
        <x:f>G61</x:f>
        <x:v>8708333.33333333</x:v>
      </x:c>
      <x:c r="I58" s="4" t="n">
        <x:f>H61</x:f>
        <x:v>8549999.999999996</x:v>
      </x:c>
      <x:c r="J58" s="4" t="n">
        <x:f>I61</x:f>
        <x:v>8391666.666666662</x:v>
      </x:c>
      <x:c r="K58" s="4" t="n">
        <x:f>J61</x:f>
        <x:v>8233333.333333329</x:v>
      </x:c>
      <x:c r="L58" s="4" t="n">
        <x:f>K61</x:f>
        <x:v>8074999.999999996</x:v>
      </x:c>
      <x:c r="M58" s="4" t="n">
        <x:f>L61</x:f>
        <x:v>7916666.666666663</x:v>
      </x:c>
      <x:c r="N58" s="4" t="n">
        <x:f>M61</x:f>
        <x:v>7758333.33333333</x:v>
      </x:c>
    </x:row>
    <x:row r="59" ht="31" customHeight="1">
      <x:c r="A59" s="10" t="str">
        <x:v>Interest cash</x:v>
      </x:c>
      <x:c r="B59" s="4"/>
      <x:c r="C59" s="4" t="n">
        <x:f>C58*$C$20/$C$30</x:f>
        <x:v>95000</x:v>
      </x:c>
      <x:c r="D59" s="4" t="n">
        <x:f>D58*$C$20/$C$30</x:f>
        <x:v>93416.66666666667</x:v>
      </x:c>
      <x:c r="E59" s="4" t="n">
        <x:f>E58*$C$20/$C$30</x:f>
        <x:v>91833.33333333331</x:v>
      </x:c>
      <x:c r="F59" s="4" t="n">
        <x:f>F58*$C$20/$C$30</x:f>
        <x:v>90249.99999999999</x:v>
      </x:c>
      <x:c r="G59" s="4" t="n">
        <x:f>G58*$C$20/$C$30</x:f>
        <x:v>88666.66666666664</x:v>
      </x:c>
      <x:c r="H59" s="4" t="n">
        <x:f>H58*$C$20/$C$30</x:f>
        <x:v>87083.3333333333</x:v>
      </x:c>
      <x:c r="I59" s="4" t="n">
        <x:f>I58*$C$20/$C$30</x:f>
        <x:v>85499.99999999996</x:v>
      </x:c>
      <x:c r="J59" s="4" t="n">
        <x:f>J58*$C$20/$C$30</x:f>
        <x:v>83916.66666666661</x:v>
      </x:c>
      <x:c r="K59" s="4" t="n">
        <x:f>K58*$C$20/$C$30</x:f>
        <x:v>82333.3333333333</x:v>
      </x:c>
      <x:c r="L59" s="4" t="n">
        <x:f>L58*$C$20/$C$30</x:f>
        <x:v>80749.99999999996</x:v>
      </x:c>
      <x:c r="M59" s="4" t="n">
        <x:f>M58*$C$20/$C$30</x:f>
        <x:v>79166.66666666663</x:v>
      </x:c>
      <x:c r="N59" s="4" t="n">
        <x:f>N58*$C$20/$C$30</x:f>
        <x:v>77583.3333333333</x:v>
      </x:c>
    </x:row>
    <x:row r="60" ht="31" customHeight="1">
      <x:c r="A60" s="10" t="str">
        <x:v>Principal repayment</x:v>
      </x:c>
      <x:c r="B60" s="4"/>
      <x:c r="C60" s="4" t="n">
        <x:f>MIN(C58,$C$19/$C$21)</x:f>
        <x:v>158333.33333333334</x:v>
      </x:c>
      <x:c r="D60" s="4" t="n">
        <x:f>MIN(D58,$C$19/$C$21)</x:f>
        <x:v>158333.33333333334</x:v>
      </x:c>
      <x:c r="E60" s="4" t="n">
        <x:f>MIN(E58,$C$19/$C$21)</x:f>
        <x:v>158333.33333333334</x:v>
      </x:c>
      <x:c r="F60" s="4" t="n">
        <x:f>MIN(F58,$C$19/$C$21)</x:f>
        <x:v>158333.33333333334</x:v>
      </x:c>
      <x:c r="G60" s="4" t="n">
        <x:f>MIN(G58,$C$19/$C$21)</x:f>
        <x:v>158333.33333333334</x:v>
      </x:c>
      <x:c r="H60" s="4" t="n">
        <x:f>MIN(H58,$C$19/$C$21)</x:f>
        <x:v>158333.33333333334</x:v>
      </x:c>
      <x:c r="I60" s="4" t="n">
        <x:f>MIN(I58,$C$19/$C$21)</x:f>
        <x:v>158333.33333333334</x:v>
      </x:c>
      <x:c r="J60" s="4" t="n">
        <x:f>MIN(J58,$C$19/$C$21)</x:f>
        <x:v>158333.33333333334</x:v>
      </x:c>
      <x:c r="K60" s="4" t="n">
        <x:f>MIN(K58,$C$19/$C$21)</x:f>
        <x:v>158333.33333333334</x:v>
      </x:c>
      <x:c r="L60" s="4" t="n">
        <x:f>MIN(L58,$C$19/$C$21)</x:f>
        <x:v>158333.33333333334</x:v>
      </x:c>
      <x:c r="M60" s="4" t="n">
        <x:f>MIN(M58,$C$19/$C$21)</x:f>
        <x:v>158333.33333333334</x:v>
      </x:c>
      <x:c r="N60" s="4" t="n">
        <x:f>MIN(N58,$C$19/$C$21)</x:f>
        <x:v>158333.33333333334</x:v>
      </x:c>
    </x:row>
    <x:row r="61" ht="31" customHeight="1">
      <x:c r="A61" s="10" t="str">
        <x:v>Closing debt</x:v>
      </x:c>
      <x:c r="B61" s="4"/>
      <x:c r="C61" s="4" t="n">
        <x:f>C58-C60</x:f>
        <x:v>9341666.666666666</x:v>
      </x:c>
      <x:c r="D61" s="4" t="n">
        <x:f>D58-D60</x:f>
        <x:v>9183333.333333332</x:v>
      </x:c>
      <x:c r="E61" s="4" t="n">
        <x:f>E58-E60</x:f>
        <x:v>9024999.999999998</x:v>
      </x:c>
      <x:c r="F61" s="4" t="n">
        <x:f>F58-F60</x:f>
        <x:v>8866666.666666664</x:v>
      </x:c>
      <x:c r="G61" s="4" t="n">
        <x:f>G58-G60</x:f>
        <x:v>8708333.33333333</x:v>
      </x:c>
      <x:c r="H61" s="4" t="n">
        <x:f>H58-H60</x:f>
        <x:v>8549999.999999996</x:v>
      </x:c>
      <x:c r="I61" s="4" t="n">
        <x:f>I58-I60</x:f>
        <x:v>8391666.666666662</x:v>
      </x:c>
      <x:c r="J61" s="4" t="n">
        <x:f>J58-J60</x:f>
        <x:v>8233333.333333329</x:v>
      </x:c>
      <x:c r="K61" s="4" t="n">
        <x:f>K58-K60</x:f>
        <x:v>8074999.999999996</x:v>
      </x:c>
      <x:c r="L61" s="4" t="n">
        <x:f>L58-L60</x:f>
        <x:v>7916666.666666663</x:v>
      </x:c>
      <x:c r="M61" s="4" t="n">
        <x:f>M58-M60</x:f>
        <x:v>7758333.33333333</x:v>
      </x:c>
      <x:c r="N61" s="4" t="n">
        <x:f>N58-N60</x:f>
        <x:v>7599999.999999997</x:v>
      </x:c>
    </x:row>
    <x:row r="62" ht="31" customHeight="1">
      <x:c r="A62" s="10" t="str">
        <x:v>Maintenance capital spend</x:v>
      </x:c>
      <x:c r="B62" s="4"/>
      <x:c r="C62" s="4" t="n">
        <x:f>$C$22</x:f>
        <x:v>28000</x:v>
      </x:c>
      <x:c r="D62" s="4" t="n">
        <x:f>$C$22</x:f>
        <x:v>28000</x:v>
      </x:c>
      <x:c r="E62" s="4" t="n">
        <x:f>$C$22</x:f>
        <x:v>28000</x:v>
      </x:c>
      <x:c r="F62" s="4" t="n">
        <x:f>$C$22</x:f>
        <x:v>28000</x:v>
      </x:c>
      <x:c r="G62" s="4" t="n">
        <x:f>$C$22</x:f>
        <x:v>28000</x:v>
      </x:c>
      <x:c r="H62" s="4" t="n">
        <x:f>$C$22</x:f>
        <x:v>28000</x:v>
      </x:c>
      <x:c r="I62" s="4" t="n">
        <x:f>$C$22</x:f>
        <x:v>28000</x:v>
      </x:c>
      <x:c r="J62" s="4" t="n">
        <x:f>$C$22</x:f>
        <x:v>28000</x:v>
      </x:c>
      <x:c r="K62" s="4" t="n">
        <x:f>$C$22</x:f>
        <x:v>28000</x:v>
      </x:c>
      <x:c r="L62" s="4" t="n">
        <x:f>$C$22</x:f>
        <x:v>28000</x:v>
      </x:c>
      <x:c r="M62" s="4" t="n">
        <x:f>$C$22</x:f>
        <x:v>28000</x:v>
      </x:c>
      <x:c r="N62" s="4" t="n">
        <x:f>$C$22</x:f>
        <x:v>28000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-5686666.666666666</x:v>
      </x:c>
      <x:c r="D66" s="22" t="n">
        <x:f>D50-D57-SUM(D59:D60)-SUM(D62:D65)</x:f>
        <x:v>-47456.666666666744</x:v>
      </x:c>
      <x:c r="E66" s="22" t="n">
        <x:f>E50-E57-SUM(E59:E60)-SUM(E62:E65)</x:f>
        <x:v>-20766.26666666605</x:v>
      </x:c>
      <x:c r="F66" s="22" t="n">
        <x:f>F50-F57-SUM(F59:F60)-SUM(F62:F65)</x:f>
        <x:v>6487.65826666815</x:v>
      </x:c>
      <x:c r="G66" s="22" t="n">
        <x:f>G50-G57-SUM(G59:G60)-SUM(G62:G65)</x:f>
        <x:v>34316.56278279913</x:v>
      </x:c>
      <x:c r="H66" s="22" t="n">
        <x:f>H50-H57-SUM(H59:H60)-SUM(H62:H65)</x:f>
        <x:v>62732.131176642026</x:v>
      </x:c>
      <x:c r="I66" s="22" t="n">
        <x:f>I50-I57-SUM(I59:I60)-SUM(I62:I65)</x:f>
        <x:v>91746.2819831103</x:v>
      </x:c>
      <x:c r="J66" s="22" t="n">
        <x:f>J50-J57-SUM(J59:J60)-SUM(J62:J65)</x:f>
        <x:v>121371.17266358697</x:v>
      </x:c>
      <x:c r="K66" s="22" t="n">
        <x:f>K50-K57-SUM(K59:K60)-SUM(K62:K65)</x:f>
        <x:v>151619.2043861301</x:v>
      </x:c>
      <x:c r="L66" s="22" t="n">
        <x:f>L50-L57-SUM(L59:L60)-SUM(L62:L65)</x:f>
        <x:v>182503.02690126648</x:v>
      </x:c>
      <x:c r="M66" s="22" t="n">
        <x:f>M50-M57-SUM(M59:M60)-SUM(M62:M65)</x:f>
        <x:v>214035.54351531997</x:v>
      </x:c>
      <x:c r="N66" s="22" t="n">
        <x:f>N50-N57-SUM(N59:N60)-SUM(N62:N65)</x:f>
        <x:v>246229.91616321413</x:v>
      </x:c>
    </x:row>
    <x:row r="67" ht="31" customHeight="1">
      <x:c r="A67" s="10" t="str">
        <x:v>Opening cash</x:v>
      </x:c>
      <x:c r="B67" s="4"/>
      <x:c r="C67" s="4" t="n">
        <x:f>$C$15</x:f>
        <x:v>2500000</x:v>
      </x:c>
      <x:c r="D67" s="4" t="n">
        <x:f>C68</x:f>
        <x:v>-3186666.666666666</x:v>
      </x:c>
      <x:c r="E67" s="4" t="n">
        <x:f>D68</x:f>
        <x:v>-3234123.333333333</x:v>
      </x:c>
      <x:c r="F67" s="4" t="n">
        <x:f>E68</x:f>
        <x:v>-3254889.599999999</x:v>
      </x:c>
      <x:c r="G67" s="4" t="n">
        <x:f>F68</x:f>
        <x:v>-3248401.941733331</x:v>
      </x:c>
      <x:c r="H67" s="4" t="n">
        <x:f>G68</x:f>
        <x:v>-3214085.3789505316</x:v>
      </x:c>
      <x:c r="I67" s="4" t="n">
        <x:f>H68</x:f>
        <x:v>-3151353.2477738895</x:v>
      </x:c>
      <x:c r="J67" s="4" t="n">
        <x:f>I68</x:f>
        <x:v>-3059606.9657907793</x:v>
      </x:c>
      <x:c r="K67" s="4" t="n">
        <x:f>J68</x:f>
        <x:v>-2938235.793127192</x:v>
      </x:c>
      <x:c r="L67" s="4" t="n">
        <x:f>K68</x:f>
        <x:v>-2786616.588741062</x:v>
      </x:c>
      <x:c r="M67" s="4" t="n">
        <x:f>L68</x:f>
        <x:v>-2604113.5618397957</x:v>
      </x:c>
      <x:c r="N67" s="4" t="n">
        <x:f>M68</x:f>
        <x:v>-2390078.0183244757</x:v>
      </x:c>
    </x:row>
    <x:row r="68" ht="31" customHeight="1">
      <x:c r="A68" s="23" t="str">
        <x:v>Closing cash</x:v>
      </x:c>
      <x:c r="B68" s="22"/>
      <x:c r="C68" s="22" t="n">
        <x:f>C67+C66</x:f>
        <x:v>-3186666.666666666</x:v>
      </x:c>
      <x:c r="D68" s="22" t="n">
        <x:f>D67+D66</x:f>
        <x:v>-3234123.333333333</x:v>
      </x:c>
      <x:c r="E68" s="22" t="n">
        <x:f>E67+E66</x:f>
        <x:v>-3254889.599999999</x:v>
      </x:c>
      <x:c r="F68" s="22" t="n">
        <x:f>F67+F66</x:f>
        <x:v>-3248401.941733331</x:v>
      </x:c>
      <x:c r="G68" s="22" t="n">
        <x:f>G67+G66</x:f>
        <x:v>-3214085.3789505316</x:v>
      </x:c>
      <x:c r="H68" s="22" t="n">
        <x:f>H67+H66</x:f>
        <x:v>-3151353.2477738895</x:v>
      </x:c>
      <x:c r="I68" s="22" t="n">
        <x:f>I67+I66</x:f>
        <x:v>-3059606.9657907793</x:v>
      </x:c>
      <x:c r="J68" s="22" t="n">
        <x:f>J67+J66</x:f>
        <x:v>-2938235.793127192</x:v>
      </x:c>
      <x:c r="K68" s="22" t="n">
        <x:f>K67+K66</x:f>
        <x:v>-2786616.588741062</x:v>
      </x:c>
      <x:c r="L68" s="22" t="n">
        <x:f>L67+L66</x:f>
        <x:v>-2604113.5618397957</x:v>
      </x:c>
      <x:c r="M68" s="22" t="n">
        <x:f>M67+M66</x:f>
        <x:v>-2390078.0183244757</x:v>
      </x:c>
      <x:c r="N68" s="22" t="n">
        <x:f>N67+N66</x:f>
        <x:v>-2143848.1021612617</x:v>
      </x:c>
    </x:row>
    <x:row r="69" ht="31" customHeight="1">
      <x:c r="A69" s="10" t="str">
        <x:v>Cash-buffer shortfall</x:v>
      </x:c>
      <x:c r="B69" s="4"/>
      <x:c r="C69" s="4" t="n">
        <x:f>MAX(0,$C$15-C68)</x:f>
        <x:v>5686666.666666666</x:v>
      </x:c>
      <x:c r="D69" s="4" t="n">
        <x:f>MAX(0,$C$15-D68)</x:f>
        <x:v>5734123.333333333</x:v>
      </x:c>
      <x:c r="E69" s="4" t="n">
        <x:f>MAX(0,$C$15-E68)</x:f>
        <x:v>5754889.6</x:v>
      </x:c>
      <x:c r="F69" s="4" t="n">
        <x:f>MAX(0,$C$15-F68)</x:f>
        <x:v>5748401.9417333305</x:v>
      </x:c>
      <x:c r="G69" s="4" t="n">
        <x:f>MAX(0,$C$15-G68)</x:f>
        <x:v>5714085.378950532</x:v>
      </x:c>
      <x:c r="H69" s="4" t="n">
        <x:f>MAX(0,$C$15-H68)</x:f>
        <x:v>5651353.247773889</x:v>
      </x:c>
      <x:c r="I69" s="4" t="n">
        <x:f>MAX(0,$C$15-I68)</x:f>
        <x:v>5559606.965790779</x:v>
      </x:c>
      <x:c r="J69" s="4" t="n">
        <x:f>MAX(0,$C$15-J68)</x:f>
        <x:v>5438235.793127192</x:v>
      </x:c>
      <x:c r="K69" s="4" t="n">
        <x:f>MAX(0,$C$15-K68)</x:f>
        <x:v>5286616.588741062</x:v>
      </x:c>
      <x:c r="L69" s="4" t="n">
        <x:f>MAX(0,$C$15-L68)</x:f>
        <x:v>5104113.561839796</x:v>
      </x:c>
      <x:c r="M69" s="4" t="n">
        <x:f>MAX(0,$C$15-M68)</x:f>
        <x:v>4890078.018324476</x:v>
      </x:c>
      <x:c r="N69" s="4" t="n">
        <x:f>MAX(0,$C$15-N68)</x:f>
        <x:v>4643848.102161262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1.263157894736842</x:v>
      </x:c>
      <x:c r="D70" s="30" t="n">
        <x:f>IF(SUM(D59:D60)&gt;0,D50/SUM(D59:D60),"No debt")</x:f>
        <x:v>1.3775571002979154</x:v>
      </x:c>
      <x:c r="E70" s="30" t="n">
        <x:f>IF(SUM(E59:E60)&gt;0,E50/SUM(E59:E60),"No debt")</x:f>
        <x:v>1.4957916055962708</x:v>
      </x:c>
      <x:c r="F70" s="30" t="n">
        <x:f>IF(SUM(F59:F60)&gt;0,F50/SUM(F59:F60),"No debt")</x:f>
        <x:v>1.6179834834730142</x:v>
      </x:c>
      <x:c r="G70" s="30" t="n">
        <x:f>IF(SUM(G59:G60)&gt;0,G50/SUM(G59:G60),"No debt")</x:f>
        <x:v>1.7442589210639698</x:v>
      </x:c>
      <x:c r="H70" s="30" t="n">
        <x:f>IF(SUM(H59:H60)&gt;0,H50/SUM(H59:H60),"No debt")</x:f>
        <x:v>1.8747483723370144</x:v>
      </x:c>
      <x:c r="I70" s="30" t="n">
        <x:f>IF(SUM(I59:I60)&gt;0,I50/SUM(I59:I60),"No debt")</x:f>
        <x:v>2.009586716971416</x:v>
      </x:c>
      <x:c r="J70" s="30" t="n">
        <x:f>IF(SUM(J59:J60)&gt;0,J50/SUM(J59:J60),"No debt")</x:f>
        <x:v>2.1489134258773053</x:v>
      </x:c>
      <x:c r="K70" s="30" t="n">
        <x:f>IF(SUM(K59:K60)&gt;0,K50/SUM(K59:K60),"No debt")</x:f>
        <x:v>2.2928727336693524</x:v>
      </x:c>
      <x:c r="L70" s="30" t="n">
        <x:f>IF(SUM(L59:L60)&gt;0,L50/SUM(L59:L60),"No debt")</x:f>
        <x:v>2.4416138184255085</x:v>
      </x:c>
      <x:c r="M70" s="30" t="n">
        <x:f>IF(SUM(M59:M60)&gt;0,M50/SUM(M59:M60),"No debt")</x:f>
        <x:v>2.5952909890794325</x:v>
      </x:c>
      <x:c r="N70" s="30" t="n">
        <x:f>IF(SUM(N59:N60)&gt;0,N50/SUM(N59:N60),"No debt")</x:f>
        <x:v>2.7540638808141953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0.6785714285714286</x:v>
      </x:c>
      <x:c r="D71" s="20" t="n">
        <x:f>IF($C$10&gt;0,D43/$C$10,0)</x:f>
        <x:v>0.6921428571428572</x:v>
      </x:c>
      <x:c r="E71" s="20" t="n">
        <x:f>IF($C$10&gt;0,E43/$C$10,0)</x:f>
        <x:v>0.7059857142857143</x:v>
      </x:c>
      <x:c r="F71" s="20" t="n">
        <x:f>IF($C$10&gt;0,F43/$C$10,0)</x:f>
        <x:v>0.7201054285714286</x:v>
      </x:c>
      <x:c r="G71" s="20" t="n">
        <x:f>IF($C$10&gt;0,G43/$C$10,0)</x:f>
        <x:v>0.7345075371428572</x:v>
      </x:c>
      <x:c r="H71" s="20" t="n">
        <x:f>IF($C$10&gt;0,H43/$C$10,0)</x:f>
        <x:v>0.7491976878857144</x:v>
      </x:c>
      <x:c r="I71" s="20" t="n">
        <x:f>IF($C$10&gt;0,I43/$C$10,0)</x:f>
        <x:v>0.7641816416434286</x:v>
      </x:c>
      <x:c r="J71" s="20" t="n">
        <x:f>IF($C$10&gt;0,J43/$C$10,0)</x:f>
        <x:v>0.7794652744762971</x:v>
      </x:c>
      <x:c r="K71" s="20" t="n">
        <x:f>IF($C$10&gt;0,K43/$C$10,0)</x:f>
        <x:v>0.7950545799658231</x:v>
      </x:c>
      <x:c r="L71" s="20" t="n">
        <x:f>IF($C$10&gt;0,L43/$C$10,0)</x:f>
        <x:v>0.8109556715651395</x:v>
      </x:c>
      <x:c r="M71" s="20" t="n">
        <x:f>IF($C$10&gt;0,M43/$C$10,0)</x:f>
        <x:v>0.8271747849964424</x:v>
      </x:c>
      <x:c r="N71" s="20" t="n">
        <x:f>IF($C$10&gt;0,N43/$C$10,0)</x:f>
        <x:v>0.843718280696371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1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f10df70600aa4905"/>
</x:worksheet>
</file>

<file path=xl/worksheets/sheet1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Real Estate Brokerage &amp; Property Management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24</x:v>
      </x:c>
      <x:c r="D6" s="10" t="str">
        <x:v>completed mandates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1200000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50000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348000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14500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35500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510000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852000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40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342000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0.71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14.366197183098592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500000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718309.8591549296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300000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1100000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2100000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35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1900000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15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960000.0000000001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200000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653760.0000000001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143760.00000000012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1200000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16094507.673752716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5205103.799382107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4642022.758392064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157466.66666666663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942533.3333333334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24</x:v>
      </x:c>
      <x:c r="D43" s="4" t="n">
        <x:f>MIN($C$10,$C$6*(1+$C$11)^1)</x:f>
        <x:v>24.48</x:v>
      </x:c>
      <x:c r="E43" s="4" t="n">
        <x:f>MIN($C$10,$C$6*(1+$C$11)^2)</x:f>
        <x:v>24.9696</x:v>
      </x:c>
      <x:c r="F43" s="4" t="n">
        <x:f>MIN($C$10,$C$6*(1+$C$11)^3)</x:f>
        <x:v>25.468992</x:v>
      </x:c>
      <x:c r="G43" s="4" t="n">
        <x:f>MIN($C$10,$C$6*(1+$C$11)^4)</x:f>
        <x:v>25.97837184</x:v>
      </x:c>
      <x:c r="H43" s="4" t="n">
        <x:f>MIN($C$10,$C$6*(1+$C$11)^5)</x:f>
        <x:v>26.4979392768</x:v>
      </x:c>
      <x:c r="I43" s="4" t="n">
        <x:f>MIN($C$10,$C$6*(1+$C$11)^6)</x:f>
        <x:v>27.027898062336</x:v>
      </x:c>
      <x:c r="J43" s="4" t="n">
        <x:f>MIN($C$10,$C$6*(1+$C$11)^7)</x:f>
        <x:v>27.568456023582716</x:v>
      </x:c>
      <x:c r="K43" s="4" t="n">
        <x:f>MIN($C$10,$C$6*(1+$C$11)^8)</x:f>
        <x:v>28.119825144054374</x:v>
      </x:c>
      <x:c r="L43" s="4" t="n">
        <x:f>MIN($C$10,$C$6*(1+$C$11)^9)</x:f>
        <x:v>28.68222164693546</x:v>
      </x:c>
      <x:c r="M43" s="4" t="n">
        <x:f>MIN($C$10,$C$6*(1+$C$11)^10)</x:f>
        <x:v>29.25586607987417</x:v>
      </x:c>
      <x:c r="N43" s="4" t="n">
        <x:f>MIN($C$10,$C$6*(1+$C$11)^11)</x:f>
        <x:v>29.840983401471647</x:v>
      </x:c>
    </x:row>
    <x:row r="44" ht="31" customHeight="1">
      <x:c r="A44" s="10" t="str">
        <x:v>Net unit price</x:v>
      </x:c>
      <x:c r="B44" s="4"/>
      <x:c r="C44" s="4" t="n">
        <x:f>$C$7*(1+$C$34)^0</x:f>
        <x:v>50000</x:v>
      </x:c>
      <x:c r="D44" s="4" t="n">
        <x:f>$C$7*(1+$C$34)^1</x:f>
        <x:v>50000</x:v>
      </x:c>
      <x:c r="E44" s="4" t="n">
        <x:f>$C$7*(1+$C$34)^2</x:f>
        <x:v>50000</x:v>
      </x:c>
      <x:c r="F44" s="4" t="n">
        <x:f>$C$7*(1+$C$34)^3</x:f>
        <x:v>50000</x:v>
      </x:c>
      <x:c r="G44" s="4" t="n">
        <x:f>$C$7*(1+$C$34)^4</x:f>
        <x:v>50000</x:v>
      </x:c>
      <x:c r="H44" s="4" t="n">
        <x:f>$C$7*(1+$C$34)^5</x:f>
        <x:v>50000</x:v>
      </x:c>
      <x:c r="I44" s="4" t="n">
        <x:f>$C$7*(1+$C$34)^6</x:f>
        <x:v>50000</x:v>
      </x:c>
      <x:c r="J44" s="4" t="n">
        <x:f>$C$7*(1+$C$34)^7</x:f>
        <x:v>50000</x:v>
      </x:c>
      <x:c r="K44" s="4" t="n">
        <x:f>$C$7*(1+$C$34)^8</x:f>
        <x:v>50000</x:v>
      </x:c>
      <x:c r="L44" s="4" t="n">
        <x:f>$C$7*(1+$C$34)^9</x:f>
        <x:v>50000</x:v>
      </x:c>
      <x:c r="M44" s="4" t="n">
        <x:f>$C$7*(1+$C$34)^10</x:f>
        <x:v>50000</x:v>
      </x:c>
      <x:c r="N44" s="4" t="n">
        <x:f>$C$7*(1+$C$34)^11</x:f>
        <x:v>50000</x:v>
      </x:c>
    </x:row>
    <x:row r="45" ht="31" customHeight="1">
      <x:c r="A45" s="23" t="str">
        <x:v>Net revenue</x:v>
      </x:c>
      <x:c r="B45" s="22"/>
      <x:c r="C45" s="22" t="n">
        <x:f>C43*C44</x:f>
        <x:v>1200000</x:v>
      </x:c>
      <x:c r="D45" s="22" t="n">
        <x:f>D43*D44</x:f>
        <x:v>1224000</x:v>
      </x:c>
      <x:c r="E45" s="22" t="n">
        <x:f>E43*E44</x:f>
        <x:v>1248480</x:v>
      </x:c>
      <x:c r="F45" s="22" t="n">
        <x:f>F43*F44</x:f>
        <x:v>1273449.6</x:v>
      </x:c>
      <x:c r="G45" s="22" t="n">
        <x:f>G43*G44</x:f>
        <x:v>1298918.592</x:v>
      </x:c>
      <x:c r="H45" s="22" t="n">
        <x:f>H43*H44</x:f>
        <x:v>1324896.96384</x:v>
      </x:c>
      <x:c r="I45" s="22" t="n">
        <x:f>I43*I44</x:f>
        <x:v>1351394.9031168</x:v>
      </x:c>
      <x:c r="J45" s="22" t="n">
        <x:f>J43*J44</x:f>
        <x:v>1378422.8011791357</x:v>
      </x:c>
      <x:c r="K45" s="22" t="n">
        <x:f>K43*K44</x:f>
        <x:v>1405991.2572027186</x:v>
      </x:c>
      <x:c r="L45" s="22" t="n">
        <x:f>L43*L44</x:f>
        <x:v>1434111.082346773</x:v>
      </x:c>
      <x:c r="M45" s="22" t="n">
        <x:f>M43*M44</x:f>
        <x:v>1462793.3039937085</x:v>
      </x:c>
      <x:c r="N45" s="22" t="n">
        <x:f>N43*N44</x:f>
        <x:v>1492049.1700735823</x:v>
      </x:c>
    </x:row>
    <x:row r="46" ht="31" customHeight="1">
      <x:c r="A46" s="10" t="str">
        <x:v>Variable cost per unit</x:v>
      </x:c>
      <x:c r="B46" s="4"/>
      <x:c r="C46" s="4" t="n">
        <x:f>$C$8</x:f>
        <x:v>14500</x:v>
      </x:c>
      <x:c r="D46" s="4" t="n">
        <x:f>$C$8</x:f>
        <x:v>14500</x:v>
      </x:c>
      <x:c r="E46" s="4" t="n">
        <x:f>$C$8</x:f>
        <x:v>14500</x:v>
      </x:c>
      <x:c r="F46" s="4" t="n">
        <x:f>$C$8</x:f>
        <x:v>14500</x:v>
      </x:c>
      <x:c r="G46" s="4" t="n">
        <x:f>$C$8</x:f>
        <x:v>14500</x:v>
      </x:c>
      <x:c r="H46" s="4" t="n">
        <x:f>$C$8</x:f>
        <x:v>14500</x:v>
      </x:c>
      <x:c r="I46" s="4" t="n">
        <x:f>$C$8</x:f>
        <x:v>14500</x:v>
      </x:c>
      <x:c r="J46" s="4" t="n">
        <x:f>$C$8</x:f>
        <x:v>14500</x:v>
      </x:c>
      <x:c r="K46" s="4" t="n">
        <x:f>$C$8</x:f>
        <x:v>14500</x:v>
      </x:c>
      <x:c r="L46" s="4" t="n">
        <x:f>$C$8</x:f>
        <x:v>14500</x:v>
      </x:c>
      <x:c r="M46" s="4" t="n">
        <x:f>$C$8</x:f>
        <x:v>14500</x:v>
      </x:c>
      <x:c r="N46" s="4" t="n">
        <x:f>$C$8</x:f>
        <x:v>14500</x:v>
      </x:c>
    </x:row>
    <x:row r="47" ht="31" customHeight="1">
      <x:c r="A47" s="10" t="str">
        <x:v>Variable cash cost</x:v>
      </x:c>
      <x:c r="B47" s="4"/>
      <x:c r="C47" s="4" t="n">
        <x:f>C43*C46</x:f>
        <x:v>348000</x:v>
      </x:c>
      <x:c r="D47" s="4" t="n">
        <x:f>D43*D46</x:f>
        <x:v>354960</x:v>
      </x:c>
      <x:c r="E47" s="4" t="n">
        <x:f>E43*E46</x:f>
        <x:v>362059.2</x:v>
      </x:c>
      <x:c r="F47" s="4" t="n">
        <x:f>F43*F46</x:f>
        <x:v>369300.384</x:v>
      </x:c>
      <x:c r="G47" s="4" t="n">
        <x:f>G43*G46</x:f>
        <x:v>376686.39168</x:v>
      </x:c>
      <x:c r="H47" s="4" t="n">
        <x:f>H43*H46</x:f>
        <x:v>384220.1195136</x:v>
      </x:c>
      <x:c r="I47" s="4" t="n">
        <x:f>I43*I46</x:f>
        <x:v>391904.521903872</x:v>
      </x:c>
      <x:c r="J47" s="4" t="n">
        <x:f>J43*J46</x:f>
        <x:v>399742.61234194937</x:v>
      </x:c>
      <x:c r="K47" s="4" t="n">
        <x:f>K43*K46</x:f>
        <x:v>407737.46458878845</x:v>
      </x:c>
      <x:c r="L47" s="4" t="n">
        <x:f>L43*L46</x:f>
        <x:v>415892.21388056414</x:v>
      </x:c>
      <x:c r="M47" s="4" t="n">
        <x:f>M43*M46</x:f>
        <x:v>424210.0581581755</x:v>
      </x:c>
      <x:c r="N47" s="4" t="n">
        <x:f>N43*N46</x:f>
        <x:v>432694.2593213389</x:v>
      </x:c>
    </x:row>
    <x:row r="48" ht="31" customHeight="1">
      <x:c r="A48" s="10" t="str">
        <x:v>Contribution</x:v>
      </x:c>
      <x:c r="B48" s="4"/>
      <x:c r="C48" s="4" t="n">
        <x:f>C45-C47</x:f>
        <x:v>852000</x:v>
      </x:c>
      <x:c r="D48" s="4" t="n">
        <x:f>D45-D47</x:f>
        <x:v>869040</x:v>
      </x:c>
      <x:c r="E48" s="4" t="n">
        <x:f>E45-E47</x:f>
        <x:v>886420.8</x:v>
      </x:c>
      <x:c r="F48" s="4" t="n">
        <x:f>F45-F47</x:f>
        <x:v>904149.216</x:v>
      </x:c>
      <x:c r="G48" s="4" t="n">
        <x:f>G45-G47</x:f>
        <x:v>922232.20032</x:v>
      </x:c>
      <x:c r="H48" s="4" t="n">
        <x:f>H45-H47</x:f>
        <x:v>940676.8443264001</x:v>
      </x:c>
      <x:c r="I48" s="4" t="n">
        <x:f>I45-I47</x:f>
        <x:v>959490.3812129279</x:v>
      </x:c>
      <x:c r="J48" s="4" t="n">
        <x:f>J45-J47</x:f>
        <x:v>978680.1888371863</x:v>
      </x:c>
      <x:c r="K48" s="4" t="n">
        <x:f>K45-K47</x:f>
        <x:v>998253.7926139302</x:v>
      </x:c>
      <x:c r="L48" s="4" t="n">
        <x:f>L45-L47</x:f>
        <x:v>1018218.8684662089</x:v>
      </x:c>
      <x:c r="M48" s="4" t="n">
        <x:f>M45-M47</x:f>
        <x:v>1038583.2458355329</x:v>
      </x:c>
      <x:c r="N48" s="4" t="n">
        <x:f>N45-N47</x:f>
        <x:v>1059354.9107522434</x:v>
      </x:c>
    </x:row>
    <x:row r="49" ht="31" customHeight="1">
      <x:c r="A49" s="10" t="str">
        <x:v>Fixed cash costs</x:v>
      </x:c>
      <x:c r="B49" s="4"/>
      <x:c r="C49" s="4" t="n">
        <x:f>$C$9*(1+$C$12)^0</x:f>
        <x:v>510000</x:v>
      </x:c>
      <x:c r="D49" s="4" t="n">
        <x:f>$C$9*(1+$C$12)^1</x:f>
        <x:v>511529.99999999994</x:v>
      </x:c>
      <x:c r="E49" s="4" t="n">
        <x:f>$C$9*(1+$C$12)^2</x:f>
        <x:v>513064.58999999985</x:v>
      </x:c>
      <x:c r="F49" s="4" t="n">
        <x:f>$C$9*(1+$C$12)^3</x:f>
        <x:v>514603.78376999986</x:v>
      </x:c>
      <x:c r="G49" s="4" t="n">
        <x:f>$C$9*(1+$C$12)^4</x:f>
        <x:v>516147.59512130974</x:v>
      </x:c>
      <x:c r="H49" s="4" t="n">
        <x:f>$C$9*(1+$C$12)^5</x:f>
        <x:v>517696.0379066737</x:v>
      </x:c>
      <x:c r="I49" s="4" t="n">
        <x:f>$C$9*(1+$C$12)^6</x:f>
        <x:v>519249.1260203935</x:v>
      </x:c>
      <x:c r="J49" s="4" t="n">
        <x:f>$C$9*(1+$C$12)^7</x:f>
        <x:v>520806.8733984547</x:v>
      </x:c>
      <x:c r="K49" s="4" t="n">
        <x:f>$C$9*(1+$C$12)^8</x:f>
        <x:v>522369.29401864996</x:v>
      </x:c>
      <x:c r="L49" s="4" t="n">
        <x:f>$C$9*(1+$C$12)^9</x:f>
        <x:v>523936.4019007058</x:v>
      </x:c>
      <x:c r="M49" s="4" t="n">
        <x:f>$C$9*(1+$C$12)^10</x:f>
        <x:v>525508.2111064078</x:v>
      </x:c>
      <x:c r="N49" s="4" t="n">
        <x:f>$C$9*(1+$C$12)^11</x:f>
        <x:v>527084.7357397272</x:v>
      </x:c>
    </x:row>
    <x:row r="50" ht="31" customHeight="1">
      <x:c r="A50" s="23" t="str">
        <x:v>Operating cash profit (EBITDA)</x:v>
      </x:c>
      <x:c r="B50" s="22"/>
      <x:c r="C50" s="22" t="n">
        <x:f>C48-C49</x:f>
        <x:v>342000</x:v>
      </x:c>
      <x:c r="D50" s="22" t="n">
        <x:f>D48-D49</x:f>
        <x:v>357510.00000000006</x:v>
      </x:c>
      <x:c r="E50" s="22" t="n">
        <x:f>E48-E49</x:f>
        <x:v>373356.2100000002</x:v>
      </x:c>
      <x:c r="F50" s="22" t="n">
        <x:f>F48-F49</x:f>
        <x:v>389545.43223000015</x:v>
      </x:c>
      <x:c r="G50" s="22" t="n">
        <x:f>G48-G49</x:f>
        <x:v>406084.6051986902</x:v>
      </x:c>
      <x:c r="H50" s="22" t="n">
        <x:f>H48-H49</x:f>
        <x:v>422980.8064197264</x:v>
      </x:c>
      <x:c r="I50" s="22" t="n">
        <x:f>I48-I49</x:f>
        <x:v>440241.25519253436</x:v>
      </x:c>
      <x:c r="J50" s="22" t="n">
        <x:f>J48-J49</x:f>
        <x:v>457873.31543873163</x:v>
      </x:c>
      <x:c r="K50" s="22" t="n">
        <x:f>K48-K49</x:f>
        <x:v>475884.4985952802</x:v>
      </x:c>
      <x:c r="L50" s="22" t="n">
        <x:f>L48-L49</x:f>
        <x:v>494282.4665655031</x:v>
      </x:c>
      <x:c r="M50" s="22" t="n">
        <x:f>M48-M49</x:f>
        <x:v>513075.0347291251</x:v>
      </x:c>
      <x:c r="N50" s="22" t="n">
        <x:f>N48-N49</x:f>
        <x:v>532270.1750125162</x:v>
      </x:c>
    </x:row>
    <x:row r="51" ht="31" customHeight="1">
      <x:c r="A51" s="10" t="str">
        <x:v>Planning depreciation</x:v>
      </x:c>
      <x:c r="B51" s="4"/>
      <x:c r="C51" s="4" t="n">
        <x:f>$C$13/$C$33/$C$30</x:f>
        <x:v>8333.333333333334</x:v>
      </x:c>
      <x:c r="D51" s="4" t="n">
        <x:f>$C$13/$C$33/$C$30</x:f>
        <x:v>8333.333333333334</x:v>
      </x:c>
      <x:c r="E51" s="4" t="n">
        <x:f>$C$13/$C$33/$C$30</x:f>
        <x:v>8333.333333333334</x:v>
      </x:c>
      <x:c r="F51" s="4" t="n">
        <x:f>$C$13/$C$33/$C$30</x:f>
        <x:v>8333.333333333334</x:v>
      </x:c>
      <x:c r="G51" s="4" t="n">
        <x:f>$C$13/$C$33/$C$30</x:f>
        <x:v>8333.333333333334</x:v>
      </x:c>
      <x:c r="H51" s="4" t="n">
        <x:f>$C$13/$C$33/$C$30</x:f>
        <x:v>8333.333333333334</x:v>
      </x:c>
      <x:c r="I51" s="4" t="n">
        <x:f>$C$13/$C$33/$C$30</x:f>
        <x:v>8333.333333333334</x:v>
      </x:c>
      <x:c r="J51" s="4" t="n">
        <x:f>$C$13/$C$33/$C$30</x:f>
        <x:v>8333.333333333334</x:v>
      </x:c>
      <x:c r="K51" s="4" t="n">
        <x:f>$C$13/$C$33/$C$30</x:f>
        <x:v>8333.333333333334</x:v>
      </x:c>
      <x:c r="L51" s="4" t="n">
        <x:f>$C$13/$C$33/$C$30</x:f>
        <x:v>8333.333333333334</x:v>
      </x:c>
      <x:c r="M51" s="4" t="n">
        <x:f>$C$13/$C$33/$C$30</x:f>
        <x:v>8333.333333333334</x:v>
      </x:c>
      <x:c r="N51" s="4" t="n">
        <x:f>$C$13/$C$33/$C$30</x:f>
        <x:v>8333.333333333334</x:v>
      </x:c>
    </x:row>
    <x:row r="52" ht="31" customHeight="1">
      <x:c r="A52" s="10" t="str">
        <x:v>Operating profit (EBIT)</x:v>
      </x:c>
      <x:c r="B52" s="4"/>
      <x:c r="C52" s="4" t="n">
        <x:f>C50-C51</x:f>
        <x:v>333666.6666666667</x:v>
      </x:c>
      <x:c r="D52" s="4" t="n">
        <x:f>D50-D51</x:f>
        <x:v>349176.66666666674</x:v>
      </x:c>
      <x:c r="E52" s="4" t="n">
        <x:f>E50-E51</x:f>
        <x:v>365022.8766666669</x:v>
      </x:c>
      <x:c r="F52" s="4" t="n">
        <x:f>F50-F51</x:f>
        <x:v>381212.09889666684</x:v>
      </x:c>
      <x:c r="G52" s="4" t="n">
        <x:f>G50-G51</x:f>
        <x:v>397751.2718653569</x:v>
      </x:c>
      <x:c r="H52" s="4" t="n">
        <x:f>H50-H51</x:f>
        <x:v>414647.4730863931</x:v>
      </x:c>
      <x:c r="I52" s="4" t="n">
        <x:f>I50-I51</x:f>
        <x:v>431907.92185920104</x:v>
      </x:c>
      <x:c r="J52" s="4" t="n">
        <x:f>J50-J51</x:f>
        <x:v>449539.9821053983</x:v>
      </x:c>
      <x:c r="K52" s="4" t="n">
        <x:f>K50-K51</x:f>
        <x:v>467551.1652619469</x:v>
      </x:c>
      <x:c r="L52" s="4" t="n">
        <x:f>L50-L51</x:f>
        <x:v>485949.1332321698</x:v>
      </x:c>
      <x:c r="M52" s="4" t="n">
        <x:f>M50-M51</x:f>
        <x:v>504741.7013957918</x:v>
      </x:c>
      <x:c r="N52" s="4" t="n">
        <x:f>N50-N51</x:f>
        <x:v>523936.8416791829</x:v>
      </x:c>
    </x:row>
    <x:row r="53" ht="31" customHeight="1">
      <x:c r="A53" s="10" t="str">
        <x:v>Receivables</x:v>
      </x:c>
      <x:c r="B53" s="4"/>
      <x:c r="C53" s="4" t="n">
        <x:f>C45*$C$16/$C$29</x:f>
        <x:v>1400000</x:v>
      </x:c>
      <x:c r="D53" s="4" t="n">
        <x:f>D45*$C$16/$C$29</x:f>
        <x:v>1428000</x:v>
      </x:c>
      <x:c r="E53" s="4" t="n">
        <x:f>E45*$C$16/$C$29</x:f>
        <x:v>1456560</x:v>
      </x:c>
      <x:c r="F53" s="4" t="n">
        <x:f>F45*$C$16/$C$29</x:f>
        <x:v>1485691.2</x:v>
      </x:c>
      <x:c r="G53" s="4" t="n">
        <x:f>G45*$C$16/$C$29</x:f>
        <x:v>1515405.024</x:v>
      </x:c>
      <x:c r="H53" s="4" t="n">
        <x:f>H45*$C$16/$C$29</x:f>
        <x:v>1545713.1244800002</x:v>
      </x:c>
      <x:c r="I53" s="4" t="n">
        <x:f>I45*$C$16/$C$29</x:f>
        <x:v>1576627.3869695999</x:v>
      </x:c>
      <x:c r="J53" s="4" t="n">
        <x:f>J45*$C$16/$C$29</x:f>
        <x:v>1608159.9347089916</x:v>
      </x:c>
      <x:c r="K53" s="4" t="n">
        <x:f>K45*$C$16/$C$29</x:f>
        <x:v>1640323.1334031718</x:v>
      </x:c>
      <x:c r="L53" s="4" t="n">
        <x:f>L45*$C$16/$C$29</x:f>
        <x:v>1673129.5960712351</x:v>
      </x:c>
      <x:c r="M53" s="4" t="n">
        <x:f>M45*$C$16/$C$29</x:f>
        <x:v>1706592.1879926599</x:v>
      </x:c>
      <x:c r="N53" s="4" t="n">
        <x:f>N45*$C$16/$C$29</x:f>
        <x:v>1740724.0317525126</x:v>
      </x:c>
    </x:row>
    <x:row r="54" ht="31" customHeight="1">
      <x:c r="A54" s="10" t="str">
        <x:v>Own inventory</x:v>
      </x:c>
      <x:c r="B54" s="4"/>
      <x:c r="C54" s="4" t="n">
        <x:f>C47*$C$31*$C$17/$C$29</x:f>
        <x:v>0</x:v>
      </x:c>
      <x:c r="D54" s="4" t="n">
        <x:f>D47*$C$31*$C$17/$C$29</x:f>
        <x:v>0</x:v>
      </x:c>
      <x:c r="E54" s="4" t="n">
        <x:f>E47*$C$31*$C$17/$C$29</x:f>
        <x:v>0</x:v>
      </x:c>
      <x:c r="F54" s="4" t="n">
        <x:f>F47*$C$31*$C$17/$C$29</x:f>
        <x:v>0</x:v>
      </x:c>
      <x:c r="G54" s="4" t="n">
        <x:f>G47*$C$31*$C$17/$C$29</x:f>
        <x:v>0</x:v>
      </x:c>
      <x:c r="H54" s="4" t="n">
        <x:f>H47*$C$31*$C$17/$C$29</x:f>
        <x:v>0</x:v>
      </x:c>
      <x:c r="I54" s="4" t="n">
        <x:f>I47*$C$31*$C$17/$C$29</x:f>
        <x:v>0</x:v>
      </x:c>
      <x:c r="J54" s="4" t="n">
        <x:f>J47*$C$31*$C$17/$C$29</x:f>
        <x:v>0</x:v>
      </x:c>
      <x:c r="K54" s="4" t="n">
        <x:f>K47*$C$31*$C$17/$C$29</x:f>
        <x:v>0</x:v>
      </x:c>
      <x:c r="L54" s="4" t="n">
        <x:f>L47*$C$31*$C$17/$C$29</x:f>
        <x:v>0</x:v>
      </x:c>
      <x:c r="M54" s="4" t="n">
        <x:f>M47*$C$31*$C$17/$C$29</x:f>
        <x:v>0</x:v>
      </x:c>
      <x:c r="N54" s="4" t="n">
        <x:f>N47*$C$31*$C$17/$C$29</x:f>
        <x:v>0</x:v>
      </x:c>
    </x:row>
    <x:row r="55" ht="31" customHeight="1">
      <x:c r="A55" s="10" t="str">
        <x:v>Supplier payables</x:v>
      </x:c>
      <x:c r="B55" s="4"/>
      <x:c r="C55" s="4" t="n">
        <x:f>C47*$C$32*$C$18/$C$29</x:f>
        <x:v>121799.99999999999</x:v>
      </x:c>
      <x:c r="D55" s="4" t="n">
        <x:f>D47*$C$32*$C$18/$C$29</x:f>
        <x:v>124235.99999999999</x:v>
      </x:c>
      <x:c r="E55" s="4" t="n">
        <x:f>E47*$C$32*$C$18/$C$29</x:f>
        <x:v>126720.72</x:v>
      </x:c>
      <x:c r="F55" s="4" t="n">
        <x:f>F47*$C$32*$C$18/$C$29</x:f>
        <x:v>129255.1344</x:v>
      </x:c>
      <x:c r="G55" s="4" t="n">
        <x:f>G47*$C$32*$C$18/$C$29</x:f>
        <x:v>131840.237088</x:v>
      </x:c>
      <x:c r="H55" s="4" t="n">
        <x:f>H47*$C$32*$C$18/$C$29</x:f>
        <x:v>134477.04182976</x:v>
      </x:c>
      <x:c r="I55" s="4" t="n">
        <x:f>I47*$C$32*$C$18/$C$29</x:f>
        <x:v>137166.5826663552</x:v>
      </x:c>
      <x:c r="J55" s="4" t="n">
        <x:f>J47*$C$32*$C$18/$C$29</x:f>
        <x:v>139909.91431968226</x:v>
      </x:c>
      <x:c r="K55" s="4" t="n">
        <x:f>K47*$C$32*$C$18/$C$29</x:f>
        <x:v>142708.11260607594</x:v>
      </x:c>
      <x:c r="L55" s="4" t="n">
        <x:f>L47*$C$32*$C$18/$C$29</x:f>
        <x:v>145562.27485819746</x:v>
      </x:c>
      <x:c r="M55" s="4" t="n">
        <x:f>M47*$C$32*$C$18/$C$29</x:f>
        <x:v>148473.52035536143</x:v>
      </x:c>
      <x:c r="N55" s="4" t="n">
        <x:f>N47*$C$32*$C$18/$C$29</x:f>
        <x:v>151442.9907624686</x:v>
      </x:c>
    </x:row>
    <x:row r="56" ht="31" customHeight="1">
      <x:c r="A56" s="23" t="str">
        <x:v>Net working capital</x:v>
      </x:c>
      <x:c r="B56" s="22"/>
      <x:c r="C56" s="22" t="n">
        <x:f>C53+C54-C55</x:f>
        <x:v>1278200</x:v>
      </x:c>
      <x:c r="D56" s="22" t="n">
        <x:f>D53+D54-D55</x:f>
        <x:v>1303764</x:v>
      </x:c>
      <x:c r="E56" s="22" t="n">
        <x:f>E53+E54-E55</x:f>
        <x:v>1329839.28</x:v>
      </x:c>
      <x:c r="F56" s="22" t="n">
        <x:f>F53+F54-F55</x:f>
        <x:v>1356436.0655999999</x:v>
      </x:c>
      <x:c r="G56" s="22" t="n">
        <x:f>G53+G54-G55</x:f>
        <x:v>1383564.786912</x:v>
      </x:c>
      <x:c r="H56" s="22" t="n">
        <x:f>H53+H54-H55</x:f>
        <x:v>1411236.0826502403</x:v>
      </x:c>
      <x:c r="I56" s="22" t="n">
        <x:f>I53+I54-I55</x:f>
        <x:v>1439460.8043032447</x:v>
      </x:c>
      <x:c r="J56" s="22" t="n">
        <x:f>J53+J54-J55</x:f>
        <x:v>1468250.0203893094</x:v>
      </x:c>
      <x:c r="K56" s="22" t="n">
        <x:f>K53+K54-K55</x:f>
        <x:v>1497615.0207970957</x:v>
      </x:c>
      <x:c r="L56" s="22" t="n">
        <x:f>L53+L54-L55</x:f>
        <x:v>1527567.3212130377</x:v>
      </x:c>
      <x:c r="M56" s="22" t="n">
        <x:f>M53+M54-M55</x:f>
        <x:v>1558118.6676372983</x:v>
      </x:c>
      <x:c r="N56" s="22" t="n">
        <x:f>N53+N54-N55</x:f>
        <x:v>1589281.040990044</x:v>
      </x:c>
    </x:row>
    <x:row r="57" ht="31" customHeight="1">
      <x:c r="A57" s="10" t="str">
        <x:v>Increase in working capital</x:v>
      </x:c>
      <x:c r="B57" s="4"/>
      <x:c r="C57" s="4" t="n">
        <x:f>C56</x:f>
        <x:v>1278200</x:v>
      </x:c>
      <x:c r="D57" s="4" t="n">
        <x:f>D56-C56</x:f>
        <x:v>25564</x:v>
      </x:c>
      <x:c r="E57" s="4" t="n">
        <x:f>E56-D56</x:f>
        <x:v>26075.280000000028</x:v>
      </x:c>
      <x:c r="F57" s="4" t="n">
        <x:f>F56-E56</x:f>
        <x:v>26596.78559999983</x:v>
      </x:c>
      <x:c r="G57" s="4" t="n">
        <x:f>G56-F56</x:f>
        <x:v>27128.721312000183</x:v>
      </x:c>
      <x:c r="H57" s="4" t="n">
        <x:f>H56-G56</x:f>
        <x:v>27671.29573824024</x:v>
      </x:c>
      <x:c r="I57" s="4" t="n">
        <x:f>I56-H56</x:f>
        <x:v>28224.72165300441</x:v>
      </x:c>
      <x:c r="J57" s="4" t="n">
        <x:f>J56-I56</x:f>
        <x:v>28789.216086064698</x:v>
      </x:c>
      <x:c r="K57" s="4" t="n">
        <x:f>K56-J56</x:f>
        <x:v>29365.00040778634</x:v>
      </x:c>
      <x:c r="L57" s="4" t="n">
        <x:f>L56-K56</x:f>
        <x:v>29952.30041594198</x:v>
      </x:c>
      <x:c r="M57" s="4" t="n">
        <x:f>M56-L56</x:f>
        <x:v>30551.346424260642</x:v>
      </x:c>
      <x:c r="N57" s="4" t="n">
        <x:f>N56-M56</x:f>
        <x:v>31162.373352745548</x:v>
      </x:c>
    </x:row>
    <x:row r="58" ht="31" customHeight="1">
      <x:c r="A58" s="10" t="str">
        <x:v>Opening debt</x:v>
      </x:c>
      <x:c r="B58" s="4"/>
      <x:c r="C58" s="4" t="n">
        <x:f>$C$19</x:f>
        <x:v>200000</x:v>
      </x:c>
      <x:c r="D58" s="4" t="n">
        <x:f>C61</x:f>
        <x:v>196666.66666666666</x:v>
      </x:c>
      <x:c r="E58" s="4" t="n">
        <x:f>D61</x:f>
        <x:v>193333.3333333333</x:v>
      </x:c>
      <x:c r="F58" s="4" t="n">
        <x:f>E61</x:f>
        <x:v>189999.99999999997</x:v>
      </x:c>
      <x:c r="G58" s="4" t="n">
        <x:f>F61</x:f>
        <x:v>186666.66666666663</x:v>
      </x:c>
      <x:c r="H58" s="4" t="n">
        <x:f>G61</x:f>
        <x:v>183333.33333333328</x:v>
      </x:c>
      <x:c r="I58" s="4" t="n">
        <x:f>H61</x:f>
        <x:v>179999.99999999994</x:v>
      </x:c>
      <x:c r="J58" s="4" t="n">
        <x:f>I61</x:f>
        <x:v>176666.6666666666</x:v>
      </x:c>
      <x:c r="K58" s="4" t="n">
        <x:f>J61</x:f>
        <x:v>173333.33333333326</x:v>
      </x:c>
      <x:c r="L58" s="4" t="n">
        <x:f>K61</x:f>
        <x:v>169999.9999999999</x:v>
      </x:c>
      <x:c r="M58" s="4" t="n">
        <x:f>L61</x:f>
        <x:v>166666.66666666657</x:v>
      </x:c>
      <x:c r="N58" s="4" t="n">
        <x:f>M61</x:f>
        <x:v>163333.33333333323</x:v>
      </x:c>
    </x:row>
    <x:row r="59" ht="31" customHeight="1">
      <x:c r="A59" s="10" t="str">
        <x:v>Interest cash</x:v>
      </x:c>
      <x:c r="B59" s="4"/>
      <x:c r="C59" s="4" t="n">
        <x:f>C58*$C$20/$C$30</x:f>
        <x:v>2000</x:v>
      </x:c>
      <x:c r="D59" s="4" t="n">
        <x:f>D58*$C$20/$C$30</x:f>
        <x:v>1966.6666666666663</x:v>
      </x:c>
      <x:c r="E59" s="4" t="n">
        <x:f>E58*$C$20/$C$30</x:f>
        <x:v>1933.333333333333</x:v>
      </x:c>
      <x:c r="F59" s="4" t="n">
        <x:f>F58*$C$20/$C$30</x:f>
        <x:v>1899.9999999999998</x:v>
      </x:c>
      <x:c r="G59" s="4" t="n">
        <x:f>G58*$C$20/$C$30</x:f>
        <x:v>1866.666666666666</x:v>
      </x:c>
      <x:c r="H59" s="4" t="n">
        <x:f>H58*$C$20/$C$30</x:f>
        <x:v>1833.3333333333328</x:v>
      </x:c>
      <x:c r="I59" s="4" t="n">
        <x:f>I58*$C$20/$C$30</x:f>
        <x:v>1799.9999999999993</x:v>
      </x:c>
      <x:c r="J59" s="4" t="n">
        <x:f>J58*$C$20/$C$30</x:f>
        <x:v>1766.666666666666</x:v>
      </x:c>
      <x:c r="K59" s="4" t="n">
        <x:f>K58*$C$20/$C$30</x:f>
        <x:v>1733.3333333333323</x:v>
      </x:c>
      <x:c r="L59" s="4" t="n">
        <x:f>L58*$C$20/$C$30</x:f>
        <x:v>1699.999999999999</x:v>
      </x:c>
      <x:c r="M59" s="4" t="n">
        <x:f>M58*$C$20/$C$30</x:f>
        <x:v>1666.6666666666658</x:v>
      </x:c>
      <x:c r="N59" s="4" t="n">
        <x:f>N58*$C$20/$C$30</x:f>
        <x:v>1633.3333333333321</x:v>
      </x:c>
    </x:row>
    <x:row r="60" ht="31" customHeight="1">
      <x:c r="A60" s="10" t="str">
        <x:v>Principal repayment</x:v>
      </x:c>
      <x:c r="B60" s="4"/>
      <x:c r="C60" s="4" t="n">
        <x:f>MIN(C58,$C$19/$C$21)</x:f>
        <x:v>3333.3333333333335</x:v>
      </x:c>
      <x:c r="D60" s="4" t="n">
        <x:f>MIN(D58,$C$19/$C$21)</x:f>
        <x:v>3333.3333333333335</x:v>
      </x:c>
      <x:c r="E60" s="4" t="n">
        <x:f>MIN(E58,$C$19/$C$21)</x:f>
        <x:v>3333.3333333333335</x:v>
      </x:c>
      <x:c r="F60" s="4" t="n">
        <x:f>MIN(F58,$C$19/$C$21)</x:f>
        <x:v>3333.3333333333335</x:v>
      </x:c>
      <x:c r="G60" s="4" t="n">
        <x:f>MIN(G58,$C$19/$C$21)</x:f>
        <x:v>3333.3333333333335</x:v>
      </x:c>
      <x:c r="H60" s="4" t="n">
        <x:f>MIN(H58,$C$19/$C$21)</x:f>
        <x:v>3333.3333333333335</x:v>
      </x:c>
      <x:c r="I60" s="4" t="n">
        <x:f>MIN(I58,$C$19/$C$21)</x:f>
        <x:v>3333.3333333333335</x:v>
      </x:c>
      <x:c r="J60" s="4" t="n">
        <x:f>MIN(J58,$C$19/$C$21)</x:f>
        <x:v>3333.3333333333335</x:v>
      </x:c>
      <x:c r="K60" s="4" t="n">
        <x:f>MIN(K58,$C$19/$C$21)</x:f>
        <x:v>3333.3333333333335</x:v>
      </x:c>
      <x:c r="L60" s="4" t="n">
        <x:f>MIN(L58,$C$19/$C$21)</x:f>
        <x:v>3333.3333333333335</x:v>
      </x:c>
      <x:c r="M60" s="4" t="n">
        <x:f>MIN(M58,$C$19/$C$21)</x:f>
        <x:v>3333.3333333333335</x:v>
      </x:c>
      <x:c r="N60" s="4" t="n">
        <x:f>MIN(N58,$C$19/$C$21)</x:f>
        <x:v>3333.3333333333335</x:v>
      </x:c>
    </x:row>
    <x:row r="61" ht="31" customHeight="1">
      <x:c r="A61" s="10" t="str">
        <x:v>Closing debt</x:v>
      </x:c>
      <x:c r="B61" s="4"/>
      <x:c r="C61" s="4" t="n">
        <x:f>C58-C60</x:f>
        <x:v>196666.66666666666</x:v>
      </x:c>
      <x:c r="D61" s="4" t="n">
        <x:f>D58-D60</x:f>
        <x:v>193333.3333333333</x:v>
      </x:c>
      <x:c r="E61" s="4" t="n">
        <x:f>E58-E60</x:f>
        <x:v>189999.99999999997</x:v>
      </x:c>
      <x:c r="F61" s="4" t="n">
        <x:f>F58-F60</x:f>
        <x:v>186666.66666666663</x:v>
      </x:c>
      <x:c r="G61" s="4" t="n">
        <x:f>G58-G60</x:f>
        <x:v>183333.33333333328</x:v>
      </x:c>
      <x:c r="H61" s="4" t="n">
        <x:f>H58-H60</x:f>
        <x:v>179999.99999999994</x:v>
      </x:c>
      <x:c r="I61" s="4" t="n">
        <x:f>I58-I60</x:f>
        <x:v>176666.6666666666</x:v>
      </x:c>
      <x:c r="J61" s="4" t="n">
        <x:f>J58-J60</x:f>
        <x:v>173333.33333333326</x:v>
      </x:c>
      <x:c r="K61" s="4" t="n">
        <x:f>K58-K60</x:f>
        <x:v>169999.9999999999</x:v>
      </x:c>
      <x:c r="L61" s="4" t="n">
        <x:f>L58-L60</x:f>
        <x:v>166666.66666666657</x:v>
      </x:c>
      <x:c r="M61" s="4" t="n">
        <x:f>M58-M60</x:f>
        <x:v>163333.33333333323</x:v>
      </x:c>
      <x:c r="N61" s="4" t="n">
        <x:f>N58-N60</x:f>
        <x:v>159999.99999999988</x:v>
      </x:c>
    </x:row>
    <x:row r="62" ht="31" customHeight="1">
      <x:c r="A62" s="10" t="str">
        <x:v>Maintenance capital spend</x:v>
      </x:c>
      <x:c r="B62" s="4"/>
      <x:c r="C62" s="4" t="n">
        <x:f>$C$22</x:f>
        <x:v>1000</x:v>
      </x:c>
      <x:c r="D62" s="4" t="n">
        <x:f>$C$22</x:f>
        <x:v>1000</x:v>
      </x:c>
      <x:c r="E62" s="4" t="n">
        <x:f>$C$22</x:f>
        <x:v>1000</x:v>
      </x:c>
      <x:c r="F62" s="4" t="n">
        <x:f>$C$22</x:f>
        <x:v>1000</x:v>
      </x:c>
      <x:c r="G62" s="4" t="n">
        <x:f>$C$22</x:f>
        <x:v>1000</x:v>
      </x:c>
      <x:c r="H62" s="4" t="n">
        <x:f>$C$22</x:f>
        <x:v>1000</x:v>
      </x:c>
      <x:c r="I62" s="4" t="n">
        <x:f>$C$22</x:f>
        <x:v>1000</x:v>
      </x:c>
      <x:c r="J62" s="4" t="n">
        <x:f>$C$22</x:f>
        <x:v>1000</x:v>
      </x:c>
      <x:c r="K62" s="4" t="n">
        <x:f>$C$22</x:f>
        <x:v>1000</x:v>
      </x:c>
      <x:c r="L62" s="4" t="n">
        <x:f>$C$22</x:f>
        <x:v>1000</x:v>
      </x:c>
      <x:c r="M62" s="4" t="n">
        <x:f>$C$22</x:f>
        <x:v>1000</x:v>
      </x:c>
      <x:c r="N62" s="4" t="n">
        <x:f>$C$22</x:f>
        <x:v>1000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-942533.3333333334</x:v>
      </x:c>
      <x:c r="D66" s="22" t="n">
        <x:f>D50-D57-SUM(D59:D60)-SUM(D62:D65)</x:f>
        <x:v>325646.00000000006</x:v>
      </x:c>
      <x:c r="E66" s="22" t="n">
        <x:f>E50-E57-SUM(E59:E60)-SUM(E62:E65)</x:f>
        <x:v>341014.2633333335</x:v>
      </x:c>
      <x:c r="F66" s="22" t="n">
        <x:f>F50-F57-SUM(F59:F60)-SUM(F62:F65)</x:f>
        <x:v>356715.313296667</x:v>
      </x:c>
      <x:c r="G66" s="22" t="n">
        <x:f>G50-G57-SUM(G59:G60)-SUM(G62:G65)</x:f>
        <x:v>372755.88388669</x:v>
      </x:c>
      <x:c r="H66" s="22" t="n">
        <x:f>H50-H57-SUM(H59:H60)-SUM(H62:H65)</x:f>
        <x:v>389142.8440148195</x:v>
      </x:c>
      <x:c r="I66" s="22" t="n">
        <x:f>I50-I57-SUM(I59:I60)-SUM(I62:I65)</x:f>
        <x:v>405883.20020619663</x:v>
      </x:c>
      <x:c r="J66" s="22" t="n">
        <x:f>J50-J57-SUM(J59:J60)-SUM(J62:J65)</x:f>
        <x:v>422984.09935266693</x:v>
      </x:c>
      <x:c r="K66" s="22" t="n">
        <x:f>K50-K57-SUM(K59:K60)-SUM(K62:K65)</x:f>
        <x:v>440452.8315208272</x:v>
      </x:c>
      <x:c r="L66" s="22" t="n">
        <x:f>L50-L57-SUM(L59:L60)-SUM(L62:L65)</x:f>
        <x:v>458296.8328162278</x:v>
      </x:c>
      <x:c r="M66" s="22" t="n">
        <x:f>M50-M57-SUM(M59:M60)-SUM(M62:M65)</x:f>
        <x:v>476523.68830486445</x:v>
      </x:c>
      <x:c r="N66" s="22" t="n">
        <x:f>N50-N57-SUM(N59:N60)-SUM(N62:N65)</x:f>
        <x:v>495141.134993104</x:v>
      </x:c>
    </x:row>
    <x:row r="67" ht="31" customHeight="1">
      <x:c r="A67" s="10" t="str">
        <x:v>Opening cash</x:v>
      </x:c>
      <x:c r="B67" s="4"/>
      <x:c r="C67" s="4" t="n">
        <x:f>$C$15</x:f>
        <x:v>1100000</x:v>
      </x:c>
      <x:c r="D67" s="4" t="n">
        <x:f>C68</x:f>
        <x:v>157466.66666666663</x:v>
      </x:c>
      <x:c r="E67" s="4" t="n">
        <x:f>D68</x:f>
        <x:v>483112.6666666667</x:v>
      </x:c>
      <x:c r="F67" s="4" t="n">
        <x:f>E68</x:f>
        <x:v>824126.9300000002</x:v>
      </x:c>
      <x:c r="G67" s="4" t="n">
        <x:f>F68</x:f>
        <x:v>1180842.2432966672</x:v>
      </x:c>
      <x:c r="H67" s="4" t="n">
        <x:f>G68</x:f>
        <x:v>1553598.1271833573</x:v>
      </x:c>
      <x:c r="I67" s="4" t="n">
        <x:f>H68</x:f>
        <x:v>1942740.9711981767</x:v>
      </x:c>
      <x:c r="J67" s="4" t="n">
        <x:f>I68</x:f>
        <x:v>2348624.1714043734</x:v>
      </x:c>
      <x:c r="K67" s="4" t="n">
        <x:f>J68</x:f>
        <x:v>2771608.2707570405</x:v>
      </x:c>
      <x:c r="L67" s="4" t="n">
        <x:f>K68</x:f>
        <x:v>3212061.1022778675</x:v>
      </x:c>
      <x:c r="M67" s="4" t="n">
        <x:f>L68</x:f>
        <x:v>3670357.9350940953</x:v>
      </x:c>
      <x:c r="N67" s="4" t="n">
        <x:f>M68</x:f>
        <x:v>4146881.6233989596</x:v>
      </x:c>
    </x:row>
    <x:row r="68" ht="31" customHeight="1">
      <x:c r="A68" s="23" t="str">
        <x:v>Closing cash</x:v>
      </x:c>
      <x:c r="B68" s="22"/>
      <x:c r="C68" s="22" t="n">
        <x:f>C67+C66</x:f>
        <x:v>157466.66666666663</x:v>
      </x:c>
      <x:c r="D68" s="22" t="n">
        <x:f>D67+D66</x:f>
        <x:v>483112.6666666667</x:v>
      </x:c>
      <x:c r="E68" s="22" t="n">
        <x:f>E67+E66</x:f>
        <x:v>824126.9300000002</x:v>
      </x:c>
      <x:c r="F68" s="22" t="n">
        <x:f>F67+F66</x:f>
        <x:v>1180842.2432966672</x:v>
      </x:c>
      <x:c r="G68" s="22" t="n">
        <x:f>G67+G66</x:f>
        <x:v>1553598.1271833573</x:v>
      </x:c>
      <x:c r="H68" s="22" t="n">
        <x:f>H67+H66</x:f>
        <x:v>1942740.9711981767</x:v>
      </x:c>
      <x:c r="I68" s="22" t="n">
        <x:f>I67+I66</x:f>
        <x:v>2348624.1714043734</x:v>
      </x:c>
      <x:c r="J68" s="22" t="n">
        <x:f>J67+J66</x:f>
        <x:v>2771608.2707570405</x:v>
      </x:c>
      <x:c r="K68" s="22" t="n">
        <x:f>K67+K66</x:f>
        <x:v>3212061.1022778675</x:v>
      </x:c>
      <x:c r="L68" s="22" t="n">
        <x:f>L67+L66</x:f>
        <x:v>3670357.9350940953</x:v>
      </x:c>
      <x:c r="M68" s="22" t="n">
        <x:f>M67+M66</x:f>
        <x:v>4146881.6233989596</x:v>
      </x:c>
      <x:c r="N68" s="22" t="n">
        <x:f>N67+N66</x:f>
        <x:v>4642022.758392064</x:v>
      </x:c>
    </x:row>
    <x:row r="69" ht="31" customHeight="1">
      <x:c r="A69" s="10" t="str">
        <x:v>Cash-buffer shortfall</x:v>
      </x:c>
      <x:c r="B69" s="4"/>
      <x:c r="C69" s="4" t="n">
        <x:f>MAX(0,$C$15-C68)</x:f>
        <x:v>942533.3333333334</x:v>
      </x:c>
      <x:c r="D69" s="4" t="n">
        <x:f>MAX(0,$C$15-D68)</x:f>
        <x:v>616887.3333333333</x:v>
      </x:c>
      <x:c r="E69" s="4" t="n">
        <x:f>MAX(0,$C$15-E68)</x:f>
        <x:v>275873.06999999983</x:v>
      </x:c>
      <x:c r="F69" s="4" t="n">
        <x:f>MAX(0,$C$15-F68)</x:f>
        <x:v>0</x:v>
      </x:c>
      <x:c r="G69" s="4" t="n">
        <x:f>MAX(0,$C$15-G68)</x:f>
        <x:v>0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64.12499999999999</x:v>
      </x:c>
      <x:c r="D70" s="30" t="n">
        <x:f>IF(SUM(D59:D60)&gt;0,D50/SUM(D59:D60),"No debt")</x:f>
        <x:v>67.45471698113208</x:v>
      </x:c>
      <x:c r="E70" s="30" t="n">
        <x:f>IF(SUM(E59:E60)&gt;0,E50/SUM(E59:E60),"No debt")</x:f>
        <x:v>70.89041962025321</x:v>
      </x:c>
      <x:c r="F70" s="30" t="n">
        <x:f>IF(SUM(F59:F60)&gt;0,F50/SUM(F59:F60),"No debt")</x:f>
        <x:v>74.43543291019111</x:v>
      </x:c>
      <x:c r="G70" s="30" t="n">
        <x:f>IF(SUM(G59:G60)&gt;0,G50/SUM(G59:G60),"No debt")</x:f>
        <x:v>78.09319330744043</x:v>
      </x:c>
      <x:c r="H70" s="30" t="n">
        <x:f>IF(SUM(H59:H60)&gt;0,H50/SUM(H59:H60),"No debt")</x:f>
        <x:v>81.86725285543092</x:v>
      </x:c>
      <x:c r="I70" s="30" t="n">
        <x:f>IF(SUM(I59:I60)&gt;0,I50/SUM(I59:I60),"No debt")</x:f>
        <x:v>85.76128347906514</x:v>
      </x:c>
      <x:c r="J70" s="30" t="n">
        <x:f>IF(SUM(J59:J60)&gt;0,J50/SUM(J59:J60),"No debt")</x:f>
        <x:v>89.77908145857484</x:v>
      </x:c>
      <x:c r="K70" s="30" t="n">
        <x:f>IF(SUM(K59:K60)&gt;0,K50/SUM(K59:K60),"No debt")</x:f>
        <x:v>93.92457209117374</x:v>
      </x:c>
      <x:c r="L70" s="30" t="n">
        <x:f>IF(SUM(L59:L60)&gt;0,L50/SUM(L59:L60),"No debt")</x:f>
        <x:v>98.20181454943773</x:v>
      </x:c>
      <x:c r="M70" s="30" t="n">
        <x:f>IF(SUM(M59:M60)&gt;0,M50/SUM(M59:M60),"No debt")</x:f>
        <x:v>102.61500694582504</x:v>
      </x:c>
      <x:c r="N70" s="30" t="n">
        <x:f>IF(SUM(N59:N60)&gt;0,N50/SUM(N59:N60),"No debt")</x:f>
        <x:v>107.16849161325831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</x:v>
      </x:c>
      <x:c r="D71" s="20" t="n">
        <x:f>IF($C$10&gt;0,D43/$C$10,0)</x:f>
        <x:v>0.612</x:v>
      </x:c>
      <x:c r="E71" s="20" t="n">
        <x:f>IF($C$10&gt;0,E43/$C$10,0)</x:f>
        <x:v>0.62424</x:v>
      </x:c>
      <x:c r="F71" s="20" t="n">
        <x:f>IF($C$10&gt;0,F43/$C$10,0)</x:f>
        <x:v>0.6367248</x:v>
      </x:c>
      <x:c r="G71" s="20" t="n">
        <x:f>IF($C$10&gt;0,G43/$C$10,0)</x:f>
        <x:v>0.6494592960000001</x:v>
      </x:c>
      <x:c r="H71" s="20" t="n">
        <x:f>IF($C$10&gt;0,H43/$C$10,0)</x:f>
        <x:v>0.66244848192</x:v>
      </x:c>
      <x:c r="I71" s="20" t="n">
        <x:f>IF($C$10&gt;0,I43/$C$10,0)</x:f>
        <x:v>0.6756974515584</x:v>
      </x:c>
      <x:c r="J71" s="20" t="n">
        <x:f>IF($C$10&gt;0,J43/$C$10,0)</x:f>
        <x:v>0.6892114005895679</x:v>
      </x:c>
      <x:c r="K71" s="20" t="n">
        <x:f>IF($C$10&gt;0,K43/$C$10,0)</x:f>
        <x:v>0.7029956286013593</x:v>
      </x:c>
      <x:c r="L71" s="20" t="n">
        <x:f>IF($C$10&gt;0,L43/$C$10,0)</x:f>
        <x:v>0.7170555411733865</x:v>
      </x:c>
      <x:c r="M71" s="20" t="n">
        <x:f>IF($C$10&gt;0,M43/$C$10,0)</x:f>
        <x:v>0.7313966519968542</x:v>
      </x:c>
      <x:c r="N71" s="20" t="n">
        <x:f>IF($C$10&gt;0,N43/$C$10,0)</x:f>
        <x:v>0.7460245850367911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2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674b4bac69304d3f"/>
</x:worksheet>
</file>

<file path=xl/worksheets/sheet1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Digital Marketing &amp; Creative Agency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20</x:v>
      </x:c>
      <x:c r="D6" s="10" t="str">
        <x:v>active retainer-months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1960000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98000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540000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27000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71000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900000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1420000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30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520000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0.7244897959183674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12.67605633802817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800000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1242253.5211267604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250000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0.6666666666666666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1600000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2850000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45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2550000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0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25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1568000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300000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1092800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192800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1960000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1600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26287695.867129438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8065173.327501327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6289415.767965363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-514600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514600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2114600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20</x:v>
      </x:c>
      <x:c r="D43" s="4" t="n">
        <x:f>MIN($C$10,$C$6*(1+$C$11)^1)</x:f>
        <x:v>20.4</x:v>
      </x:c>
      <x:c r="E43" s="4" t="n">
        <x:f>MIN($C$10,$C$6*(1+$C$11)^2)</x:f>
        <x:v>20.808</x:v>
      </x:c>
      <x:c r="F43" s="4" t="n">
        <x:f>MIN($C$10,$C$6*(1+$C$11)^3)</x:f>
        <x:v>21.224159999999998</x:v>
      </x:c>
      <x:c r="G43" s="4" t="n">
        <x:f>MIN($C$10,$C$6*(1+$C$11)^4)</x:f>
        <x:v>21.6486432</x:v>
      </x:c>
      <x:c r="H43" s="4" t="n">
        <x:f>MIN($C$10,$C$6*(1+$C$11)^5)</x:f>
        <x:v>22.081616064000002</x:v>
      </x:c>
      <x:c r="I43" s="4" t="n">
        <x:f>MIN($C$10,$C$6*(1+$C$11)^6)</x:f>
        <x:v>22.523248385280002</x:v>
      </x:c>
      <x:c r="J43" s="4" t="n">
        <x:f>MIN($C$10,$C$6*(1+$C$11)^7)</x:f>
        <x:v>22.973713352985598</x:v>
      </x:c>
      <x:c r="K43" s="4" t="n">
        <x:f>MIN($C$10,$C$6*(1+$C$11)^8)</x:f>
        <x:v>23.43318762004531</x:v>
      </x:c>
      <x:c r="L43" s="4" t="n">
        <x:f>MIN($C$10,$C$6*(1+$C$11)^9)</x:f>
        <x:v>23.901851372446217</x:v>
      </x:c>
      <x:c r="M43" s="4" t="n">
        <x:f>MIN($C$10,$C$6*(1+$C$11)^10)</x:f>
        <x:v>24.379888399895144</x:v>
      </x:c>
      <x:c r="N43" s="4" t="n">
        <x:f>MIN($C$10,$C$6*(1+$C$11)^11)</x:f>
        <x:v>24.86748616789304</x:v>
      </x:c>
    </x:row>
    <x:row r="44" ht="31" customHeight="1">
      <x:c r="A44" s="10" t="str">
        <x:v>Net unit price</x:v>
      </x:c>
      <x:c r="B44" s="4"/>
      <x:c r="C44" s="4" t="n">
        <x:f>$C$7*(1+$C$34)^0</x:f>
        <x:v>98000</x:v>
      </x:c>
      <x:c r="D44" s="4" t="n">
        <x:f>$C$7*(1+$C$34)^1</x:f>
        <x:v>98000</x:v>
      </x:c>
      <x:c r="E44" s="4" t="n">
        <x:f>$C$7*(1+$C$34)^2</x:f>
        <x:v>98000</x:v>
      </x:c>
      <x:c r="F44" s="4" t="n">
        <x:f>$C$7*(1+$C$34)^3</x:f>
        <x:v>98000</x:v>
      </x:c>
      <x:c r="G44" s="4" t="n">
        <x:f>$C$7*(1+$C$34)^4</x:f>
        <x:v>98000</x:v>
      </x:c>
      <x:c r="H44" s="4" t="n">
        <x:f>$C$7*(1+$C$34)^5</x:f>
        <x:v>98000</x:v>
      </x:c>
      <x:c r="I44" s="4" t="n">
        <x:f>$C$7*(1+$C$34)^6</x:f>
        <x:v>98000</x:v>
      </x:c>
      <x:c r="J44" s="4" t="n">
        <x:f>$C$7*(1+$C$34)^7</x:f>
        <x:v>98000</x:v>
      </x:c>
      <x:c r="K44" s="4" t="n">
        <x:f>$C$7*(1+$C$34)^8</x:f>
        <x:v>98000</x:v>
      </x:c>
      <x:c r="L44" s="4" t="n">
        <x:f>$C$7*(1+$C$34)^9</x:f>
        <x:v>98000</x:v>
      </x:c>
      <x:c r="M44" s="4" t="n">
        <x:f>$C$7*(1+$C$34)^10</x:f>
        <x:v>98000</x:v>
      </x:c>
      <x:c r="N44" s="4" t="n">
        <x:f>$C$7*(1+$C$34)^11</x:f>
        <x:v>98000</x:v>
      </x:c>
    </x:row>
    <x:row r="45" ht="31" customHeight="1">
      <x:c r="A45" s="23" t="str">
        <x:v>Net revenue</x:v>
      </x:c>
      <x:c r="B45" s="22"/>
      <x:c r="C45" s="22" t="n">
        <x:f>C43*C44</x:f>
        <x:v>1960000</x:v>
      </x:c>
      <x:c r="D45" s="22" t="n">
        <x:f>D43*D44</x:f>
        <x:v>1999199.9999999998</x:v>
      </x:c>
      <x:c r="E45" s="22" t="n">
        <x:f>E43*E44</x:f>
        <x:v>2039184</x:v>
      </x:c>
      <x:c r="F45" s="22" t="n">
        <x:f>F43*F44</x:f>
        <x:v>2079967.6799999997</x:v>
      </x:c>
      <x:c r="G45" s="22" t="n">
        <x:f>G43*G44</x:f>
        <x:v>2121567.0335999997</x:v>
      </x:c>
      <x:c r="H45" s="22" t="n">
        <x:f>H43*H44</x:f>
        <x:v>2163998.374272</x:v>
      </x:c>
      <x:c r="I45" s="22" t="n">
        <x:f>I43*I44</x:f>
        <x:v>2207278.34175744</x:v>
      </x:c>
      <x:c r="J45" s="22" t="n">
        <x:f>J43*J44</x:f>
        <x:v>2251423.9085925887</x:v>
      </x:c>
      <x:c r="K45" s="22" t="n">
        <x:f>K43*K44</x:f>
        <x:v>2296452.38676444</x:v>
      </x:c>
      <x:c r="L45" s="22" t="n">
        <x:f>L43*L44</x:f>
        <x:v>2342381.4344997294</x:v>
      </x:c>
      <x:c r="M45" s="22" t="n">
        <x:f>M43*M44</x:f>
        <x:v>2389229.063189724</x:v>
      </x:c>
      <x:c r="N45" s="22" t="n">
        <x:f>N43*N44</x:f>
        <x:v>2437013.644453518</x:v>
      </x:c>
    </x:row>
    <x:row r="46" ht="31" customHeight="1">
      <x:c r="A46" s="10" t="str">
        <x:v>Variable cost per unit</x:v>
      </x:c>
      <x:c r="B46" s="4"/>
      <x:c r="C46" s="4" t="n">
        <x:f>$C$8</x:f>
        <x:v>27000</x:v>
      </x:c>
      <x:c r="D46" s="4" t="n">
        <x:f>$C$8</x:f>
        <x:v>27000</x:v>
      </x:c>
      <x:c r="E46" s="4" t="n">
        <x:f>$C$8</x:f>
        <x:v>27000</x:v>
      </x:c>
      <x:c r="F46" s="4" t="n">
        <x:f>$C$8</x:f>
        <x:v>27000</x:v>
      </x:c>
      <x:c r="G46" s="4" t="n">
        <x:f>$C$8</x:f>
        <x:v>27000</x:v>
      </x:c>
      <x:c r="H46" s="4" t="n">
        <x:f>$C$8</x:f>
        <x:v>27000</x:v>
      </x:c>
      <x:c r="I46" s="4" t="n">
        <x:f>$C$8</x:f>
        <x:v>27000</x:v>
      </x:c>
      <x:c r="J46" s="4" t="n">
        <x:f>$C$8</x:f>
        <x:v>27000</x:v>
      </x:c>
      <x:c r="K46" s="4" t="n">
        <x:f>$C$8</x:f>
        <x:v>27000</x:v>
      </x:c>
      <x:c r="L46" s="4" t="n">
        <x:f>$C$8</x:f>
        <x:v>27000</x:v>
      </x:c>
      <x:c r="M46" s="4" t="n">
        <x:f>$C$8</x:f>
        <x:v>27000</x:v>
      </x:c>
      <x:c r="N46" s="4" t="n">
        <x:f>$C$8</x:f>
        <x:v>27000</x:v>
      </x:c>
    </x:row>
    <x:row r="47" ht="31" customHeight="1">
      <x:c r="A47" s="10" t="str">
        <x:v>Variable cash cost</x:v>
      </x:c>
      <x:c r="B47" s="4"/>
      <x:c r="C47" s="4" t="n">
        <x:f>C43*C46</x:f>
        <x:v>540000</x:v>
      </x:c>
      <x:c r="D47" s="4" t="n">
        <x:f>D43*D46</x:f>
        <x:v>550800</x:v>
      </x:c>
      <x:c r="E47" s="4" t="n">
        <x:f>E43*E46</x:f>
        <x:v>561816</x:v>
      </x:c>
      <x:c r="F47" s="4" t="n">
        <x:f>F43*F46</x:f>
        <x:v>573052.32</x:v>
      </x:c>
      <x:c r="G47" s="4" t="n">
        <x:f>G43*G46</x:f>
        <x:v>584513.3663999999</x:v>
      </x:c>
      <x:c r="H47" s="4" t="n">
        <x:f>H43*H46</x:f>
        <x:v>596203.6337280001</x:v>
      </x:c>
      <x:c r="I47" s="4" t="n">
        <x:f>I43*I46</x:f>
        <x:v>608127.7064025601</x:v>
      </x:c>
      <x:c r="J47" s="4" t="n">
        <x:f>J43*J46</x:f>
        <x:v>620290.2605306112</x:v>
      </x:c>
      <x:c r="K47" s="4" t="n">
        <x:f>K43*K46</x:f>
        <x:v>632696.0657412234</x:v>
      </x:c>
      <x:c r="L47" s="4" t="n">
        <x:f>L43*L46</x:f>
        <x:v>645349.9870560479</x:v>
      </x:c>
      <x:c r="M47" s="4" t="n">
        <x:f>M43*M46</x:f>
        <x:v>658256.9867971689</x:v>
      </x:c>
      <x:c r="N47" s="4" t="n">
        <x:f>N43*N46</x:f>
        <x:v>671422.1265331121</x:v>
      </x:c>
    </x:row>
    <x:row r="48" ht="31" customHeight="1">
      <x:c r="A48" s="10" t="str">
        <x:v>Contribution</x:v>
      </x:c>
      <x:c r="B48" s="4"/>
      <x:c r="C48" s="4" t="n">
        <x:f>C45-C47</x:f>
        <x:v>1420000</x:v>
      </x:c>
      <x:c r="D48" s="4" t="n">
        <x:f>D45-D47</x:f>
        <x:v>1448399.9999999998</x:v>
      </x:c>
      <x:c r="E48" s="4" t="n">
        <x:f>E45-E47</x:f>
        <x:v>1477368</x:v>
      </x:c>
      <x:c r="F48" s="4" t="n">
        <x:f>F45-F47</x:f>
        <x:v>1506915.3599999999</x:v>
      </x:c>
      <x:c r="G48" s="4" t="n">
        <x:f>G45-G47</x:f>
        <x:v>1537053.6671999998</x:v>
      </x:c>
      <x:c r="H48" s="4" t="n">
        <x:f>H45-H47</x:f>
        <x:v>1567794.740544</x:v>
      </x:c>
      <x:c r="I48" s="4" t="n">
        <x:f>I45-I47</x:f>
        <x:v>1599150.6353548798</x:v>
      </x:c>
      <x:c r="J48" s="4" t="n">
        <x:f>J45-J47</x:f>
        <x:v>1631133.6480619777</x:v>
      </x:c>
      <x:c r="K48" s="4" t="n">
        <x:f>K45-K47</x:f>
        <x:v>1663756.321023217</x:v>
      </x:c>
      <x:c r="L48" s="4" t="n">
        <x:f>L45-L47</x:f>
        <x:v>1697031.4474436815</x:v>
      </x:c>
      <x:c r="M48" s="4" t="n">
        <x:f>M45-M47</x:f>
        <x:v>1730972.0763925551</x:v>
      </x:c>
      <x:c r="N48" s="4" t="n">
        <x:f>N45-N47</x:f>
        <x:v>1765591.517920406</x:v>
      </x:c>
    </x:row>
    <x:row r="49" ht="31" customHeight="1">
      <x:c r="A49" s="10" t="str">
        <x:v>Fixed cash costs</x:v>
      </x:c>
      <x:c r="B49" s="4"/>
      <x:c r="C49" s="4" t="n">
        <x:f>$C$9*(1+$C$12)^0</x:f>
        <x:v>900000</x:v>
      </x:c>
      <x:c r="D49" s="4" t="n">
        <x:f>$C$9*(1+$C$12)^1</x:f>
        <x:v>902699.9999999999</x:v>
      </x:c>
      <x:c r="E49" s="4" t="n">
        <x:f>$C$9*(1+$C$12)^2</x:f>
        <x:v>905408.0999999997</x:v>
      </x:c>
      <x:c r="F49" s="4" t="n">
        <x:f>$C$9*(1+$C$12)^3</x:f>
        <x:v>908124.3242999997</x:v>
      </x:c>
      <x:c r="G49" s="4" t="n">
        <x:f>$C$9*(1+$C$12)^4</x:f>
        <x:v>910848.6972728996</x:v>
      </x:c>
      <x:c r="H49" s="4" t="n">
        <x:f>$C$9*(1+$C$12)^5</x:f>
        <x:v>913581.2433647183</x:v>
      </x:c>
      <x:c r="I49" s="4" t="n">
        <x:f>$C$9*(1+$C$12)^6</x:f>
        <x:v>916321.9870948121</x:v>
      </x:c>
      <x:c r="J49" s="4" t="n">
        <x:f>$C$9*(1+$C$12)^7</x:f>
        <x:v>919070.9530560964</x:v>
      </x:c>
      <x:c r="K49" s="4" t="n">
        <x:f>$C$9*(1+$C$12)^8</x:f>
        <x:v>921828.1659152646</x:v>
      </x:c>
      <x:c r="L49" s="4" t="n">
        <x:f>$C$9*(1+$C$12)^9</x:f>
        <x:v>924593.6504130103</x:v>
      </x:c>
      <x:c r="M49" s="4" t="n">
        <x:f>$C$9*(1+$C$12)^10</x:f>
        <x:v>927367.4313642492</x:v>
      </x:c>
      <x:c r="N49" s="4" t="n">
        <x:f>$C$9*(1+$C$12)^11</x:f>
        <x:v>930149.533658342</x:v>
      </x:c>
    </x:row>
    <x:row r="50" ht="31" customHeight="1">
      <x:c r="A50" s="23" t="str">
        <x:v>Operating cash profit (EBITDA)</x:v>
      </x:c>
      <x:c r="B50" s="22"/>
      <x:c r="C50" s="22" t="n">
        <x:f>C48-C49</x:f>
        <x:v>520000</x:v>
      </x:c>
      <x:c r="D50" s="22" t="n">
        <x:f>D48-D49</x:f>
        <x:v>545699.9999999999</x:v>
      </x:c>
      <x:c r="E50" s="22" t="n">
        <x:f>E48-E49</x:f>
        <x:v>571959.9000000003</x:v>
      </x:c>
      <x:c r="F50" s="22" t="n">
        <x:f>F48-F49</x:f>
        <x:v>598791.0357000001</x:v>
      </x:c>
      <x:c r="G50" s="22" t="n">
        <x:f>G48-G49</x:f>
        <x:v>626204.9699271002</x:v>
      </x:c>
      <x:c r="H50" s="22" t="n">
        <x:f>H48-H49</x:f>
        <x:v>654213.4971792817</x:v>
      </x:c>
      <x:c r="I50" s="22" t="n">
        <x:f>I48-I49</x:f>
        <x:v>682828.6482600677</x:v>
      </x:c>
      <x:c r="J50" s="22" t="n">
        <x:f>J48-J49</x:f>
        <x:v>712062.6950058813</x:v>
      </x:c>
      <x:c r="K50" s="22" t="n">
        <x:f>K48-K49</x:f>
        <x:v>741928.1551079523</x:v>
      </x:c>
      <x:c r="L50" s="22" t="n">
        <x:f>L48-L49</x:f>
        <x:v>772437.7970306713</x:v>
      </x:c>
      <x:c r="M50" s="22" t="n">
        <x:f>M48-M49</x:f>
        <x:v>803604.6450283059</x:v>
      </x:c>
      <x:c r="N50" s="22" t="n">
        <x:f>N48-N49</x:f>
        <x:v>835441.9842620641</x:v>
      </x:c>
    </x:row>
    <x:row r="51" ht="31" customHeight="1">
      <x:c r="A51" s="10" t="str">
        <x:v>Planning depreciation</x:v>
      </x:c>
      <x:c r="B51" s="4"/>
      <x:c r="C51" s="4" t="n">
        <x:f>$C$13/$C$33/$C$30</x:f>
        <x:v>13333.333333333334</x:v>
      </x:c>
      <x:c r="D51" s="4" t="n">
        <x:f>$C$13/$C$33/$C$30</x:f>
        <x:v>13333.333333333334</x:v>
      </x:c>
      <x:c r="E51" s="4" t="n">
        <x:f>$C$13/$C$33/$C$30</x:f>
        <x:v>13333.333333333334</x:v>
      </x:c>
      <x:c r="F51" s="4" t="n">
        <x:f>$C$13/$C$33/$C$30</x:f>
        <x:v>13333.333333333334</x:v>
      </x:c>
      <x:c r="G51" s="4" t="n">
        <x:f>$C$13/$C$33/$C$30</x:f>
        <x:v>13333.333333333334</x:v>
      </x:c>
      <x:c r="H51" s="4" t="n">
        <x:f>$C$13/$C$33/$C$30</x:f>
        <x:v>13333.333333333334</x:v>
      </x:c>
      <x:c r="I51" s="4" t="n">
        <x:f>$C$13/$C$33/$C$30</x:f>
        <x:v>13333.333333333334</x:v>
      </x:c>
      <x:c r="J51" s="4" t="n">
        <x:f>$C$13/$C$33/$C$30</x:f>
        <x:v>13333.333333333334</x:v>
      </x:c>
      <x:c r="K51" s="4" t="n">
        <x:f>$C$13/$C$33/$C$30</x:f>
        <x:v>13333.333333333334</x:v>
      </x:c>
      <x:c r="L51" s="4" t="n">
        <x:f>$C$13/$C$33/$C$30</x:f>
        <x:v>13333.333333333334</x:v>
      </x:c>
      <x:c r="M51" s="4" t="n">
        <x:f>$C$13/$C$33/$C$30</x:f>
        <x:v>13333.333333333334</x:v>
      </x:c>
      <x:c r="N51" s="4" t="n">
        <x:f>$C$13/$C$33/$C$30</x:f>
        <x:v>13333.333333333334</x:v>
      </x:c>
    </x:row>
    <x:row r="52" ht="31" customHeight="1">
      <x:c r="A52" s="10" t="str">
        <x:v>Operating profit (EBIT)</x:v>
      </x:c>
      <x:c r="B52" s="4"/>
      <x:c r="C52" s="4" t="n">
        <x:f>C50-C51</x:f>
        <x:v>506666.6666666667</x:v>
      </x:c>
      <x:c r="D52" s="4" t="n">
        <x:f>D50-D51</x:f>
        <x:v>532366.6666666665</x:v>
      </x:c>
      <x:c r="E52" s="4" t="n">
        <x:f>E50-E51</x:f>
        <x:v>558626.5666666669</x:v>
      </x:c>
      <x:c r="F52" s="4" t="n">
        <x:f>F50-F51</x:f>
        <x:v>585457.7023666668</x:v>
      </x:c>
      <x:c r="G52" s="4" t="n">
        <x:f>G50-G51</x:f>
        <x:v>612871.6365937669</x:v>
      </x:c>
      <x:c r="H52" s="4" t="n">
        <x:f>H50-H51</x:f>
        <x:v>640880.1638459483</x:v>
      </x:c>
      <x:c r="I52" s="4" t="n">
        <x:f>I50-I51</x:f>
        <x:v>669495.3149267343</x:v>
      </x:c>
      <x:c r="J52" s="4" t="n">
        <x:f>J50-J51</x:f>
        <x:v>698729.3616725479</x:v>
      </x:c>
      <x:c r="K52" s="4" t="n">
        <x:f>K50-K51</x:f>
        <x:v>728594.8217746189</x:v>
      </x:c>
      <x:c r="L52" s="4" t="n">
        <x:f>L50-L51</x:f>
        <x:v>759104.4636973379</x:v>
      </x:c>
      <x:c r="M52" s="4" t="n">
        <x:f>M50-M51</x:f>
        <x:v>790271.3116949726</x:v>
      </x:c>
      <x:c r="N52" s="4" t="n">
        <x:f>N50-N51</x:f>
        <x:v>822108.6509287307</x:v>
      </x:c>
    </x:row>
    <x:row r="53" ht="31" customHeight="1">
      <x:c r="A53" s="10" t="str">
        <x:v>Receivables</x:v>
      </x:c>
      <x:c r="B53" s="4"/>
      <x:c r="C53" s="4" t="n">
        <x:f>C45*$C$16/$C$29</x:f>
        <x:v>2940000</x:v>
      </x:c>
      <x:c r="D53" s="4" t="n">
        <x:f>D45*$C$16/$C$29</x:f>
        <x:v>2998799.9999999995</x:v>
      </x:c>
      <x:c r="E53" s="4" t="n">
        <x:f>E45*$C$16/$C$29</x:f>
        <x:v>3058776</x:v>
      </x:c>
      <x:c r="F53" s="4" t="n">
        <x:f>F45*$C$16/$C$29</x:f>
        <x:v>3119951.52</x:v>
      </x:c>
      <x:c r="G53" s="4" t="n">
        <x:f>G45*$C$16/$C$29</x:f>
        <x:v>3182350.5503999996</x:v>
      </x:c>
      <x:c r="H53" s="4" t="n">
        <x:f>H45*$C$16/$C$29</x:f>
        <x:v>3245997.561408</x:v>
      </x:c>
      <x:c r="I53" s="4" t="n">
        <x:f>I45*$C$16/$C$29</x:f>
        <x:v>3310917.51263616</x:v>
      </x:c>
      <x:c r="J53" s="4" t="n">
        <x:f>J45*$C$16/$C$29</x:f>
        <x:v>3377135.862888883</x:v>
      </x:c>
      <x:c r="K53" s="4" t="n">
        <x:f>K45*$C$16/$C$29</x:f>
        <x:v>3444678.5801466606</x:v>
      </x:c>
      <x:c r="L53" s="4" t="n">
        <x:f>L45*$C$16/$C$29</x:f>
        <x:v>3513572.151749594</x:v>
      </x:c>
      <x:c r="M53" s="4" t="n">
        <x:f>M45*$C$16/$C$29</x:f>
        <x:v>3583843.594784586</x:v>
      </x:c>
      <x:c r="N53" s="4" t="n">
        <x:f>N45*$C$16/$C$29</x:f>
        <x:v>3655520.4666802776</x:v>
      </x:c>
    </x:row>
    <x:row r="54" ht="31" customHeight="1">
      <x:c r="A54" s="10" t="str">
        <x:v>Own inventory</x:v>
      </x:c>
      <x:c r="B54" s="4"/>
      <x:c r="C54" s="4" t="n">
        <x:f>C47*$C$31*$C$17/$C$29</x:f>
        <x:v>0</x:v>
      </x:c>
      <x:c r="D54" s="4" t="n">
        <x:f>D47*$C$31*$C$17/$C$29</x:f>
        <x:v>0</x:v>
      </x:c>
      <x:c r="E54" s="4" t="n">
        <x:f>E47*$C$31*$C$17/$C$29</x:f>
        <x:v>0</x:v>
      </x:c>
      <x:c r="F54" s="4" t="n">
        <x:f>F47*$C$31*$C$17/$C$29</x:f>
        <x:v>0</x:v>
      </x:c>
      <x:c r="G54" s="4" t="n">
        <x:f>G47*$C$31*$C$17/$C$29</x:f>
        <x:v>0</x:v>
      </x:c>
      <x:c r="H54" s="4" t="n">
        <x:f>H47*$C$31*$C$17/$C$29</x:f>
        <x:v>0</x:v>
      </x:c>
      <x:c r="I54" s="4" t="n">
        <x:f>I47*$C$31*$C$17/$C$29</x:f>
        <x:v>0</x:v>
      </x:c>
      <x:c r="J54" s="4" t="n">
        <x:f>J47*$C$31*$C$17/$C$29</x:f>
        <x:v>0</x:v>
      </x:c>
      <x:c r="K54" s="4" t="n">
        <x:f>K47*$C$31*$C$17/$C$29</x:f>
        <x:v>0</x:v>
      </x:c>
      <x:c r="L54" s="4" t="n">
        <x:f>L47*$C$31*$C$17/$C$29</x:f>
        <x:v>0</x:v>
      </x:c>
      <x:c r="M54" s="4" t="n">
        <x:f>M47*$C$31*$C$17/$C$29</x:f>
        <x:v>0</x:v>
      </x:c>
      <x:c r="N54" s="4" t="n">
        <x:f>N47*$C$31*$C$17/$C$29</x:f>
        <x:v>0</x:v>
      </x:c>
    </x:row>
    <x:row r="55" ht="31" customHeight="1">
      <x:c r="A55" s="10" t="str">
        <x:v>Supplier payables</x:v>
      </x:c>
      <x:c r="B55" s="4"/>
      <x:c r="C55" s="4" t="n">
        <x:f>C47*$C$32*$C$18/$C$29</x:f>
        <x:v>315000</x:v>
      </x:c>
      <x:c r="D55" s="4" t="n">
        <x:f>D47*$C$32*$C$18/$C$29</x:f>
        <x:v>321300</x:v>
      </x:c>
      <x:c r="E55" s="4" t="n">
        <x:f>E47*$C$32*$C$18/$C$29</x:f>
        <x:v>327725.99999999994</x:v>
      </x:c>
      <x:c r="F55" s="4" t="n">
        <x:f>F47*$C$32*$C$18/$C$29</x:f>
        <x:v>334280.51999999996</x:v>
      </x:c>
      <x:c r="G55" s="4" t="n">
        <x:f>G47*$C$32*$C$18/$C$29</x:f>
        <x:v>340966.13039999997</x:v>
      </x:c>
      <x:c r="H55" s="4" t="n">
        <x:f>H47*$C$32*$C$18/$C$29</x:f>
        <x:v>347785.45300800004</x:v>
      </x:c>
      <x:c r="I55" s="4" t="n">
        <x:f>I47*$C$32*$C$18/$C$29</x:f>
        <x:v>354741.1620681601</x:v>
      </x:c>
      <x:c r="J55" s="4" t="n">
        <x:f>J47*$C$32*$C$18/$C$29</x:f>
        <x:v>361835.9853095232</x:v>
      </x:c>
      <x:c r="K55" s="4" t="n">
        <x:f>K47*$C$32*$C$18/$C$29</x:f>
        <x:v>369072.70501571364</x:v>
      </x:c>
      <x:c r="L55" s="4" t="n">
        <x:f>L47*$C$32*$C$18/$C$29</x:f>
        <x:v>376454.15911602793</x:v>
      </x:c>
      <x:c r="M55" s="4" t="n">
        <x:f>M47*$C$32*$C$18/$C$29</x:f>
        <x:v>383983.2422983485</x:v>
      </x:c>
      <x:c r="N55" s="4" t="n">
        <x:f>N47*$C$32*$C$18/$C$29</x:f>
        <x:v>391662.9071443154</x:v>
      </x:c>
    </x:row>
    <x:row r="56" ht="31" customHeight="1">
      <x:c r="A56" s="23" t="str">
        <x:v>Net working capital</x:v>
      </x:c>
      <x:c r="B56" s="22"/>
      <x:c r="C56" s="22" t="n">
        <x:f>C53+C54-C55</x:f>
        <x:v>2625000</x:v>
      </x:c>
      <x:c r="D56" s="22" t="n">
        <x:f>D53+D54-D55</x:f>
        <x:v>2677499.9999999995</x:v>
      </x:c>
      <x:c r="E56" s="22" t="n">
        <x:f>E53+E54-E55</x:f>
        <x:v>2731050</x:v>
      </x:c>
      <x:c r="F56" s="22" t="n">
        <x:f>F53+F54-F55</x:f>
        <x:v>2785671</x:v>
      </x:c>
      <x:c r="G56" s="22" t="n">
        <x:f>G53+G54-G55</x:f>
        <x:v>2841384.4199999995</x:v>
      </x:c>
      <x:c r="H56" s="22" t="n">
        <x:f>H53+H54-H55</x:f>
        <x:v>2898212.1084000003</x:v>
      </x:c>
      <x:c r="I56" s="22" t="n">
        <x:f>I53+I54-I55</x:f>
        <x:v>2956176.3505679998</x:v>
      </x:c>
      <x:c r="J56" s="22" t="n">
        <x:f>J53+J54-J55</x:f>
        <x:v>3015299.87757936</x:v>
      </x:c>
      <x:c r="K56" s="22" t="n">
        <x:f>K53+K54-K55</x:f>
        <x:v>3075605.8751309467</x:v>
      </x:c>
      <x:c r="L56" s="22" t="n">
        <x:f>L53+L54-L55</x:f>
        <x:v>3137117.9926335663</x:v>
      </x:c>
      <x:c r="M56" s="22" t="n">
        <x:f>M53+M54-M55</x:f>
        <x:v>3199860.352486238</x:v>
      </x:c>
      <x:c r="N56" s="22" t="n">
        <x:f>N53+N54-N55</x:f>
        <x:v>3263857.559535962</x:v>
      </x:c>
    </x:row>
    <x:row r="57" ht="31" customHeight="1">
      <x:c r="A57" s="10" t="str">
        <x:v>Increase in working capital</x:v>
      </x:c>
      <x:c r="B57" s="4"/>
      <x:c r="C57" s="4" t="n">
        <x:f>C56</x:f>
        <x:v>2625000</x:v>
      </x:c>
      <x:c r="D57" s="4" t="n">
        <x:f>D56-C56</x:f>
        <x:v>52499.999999999534</x:v>
      </x:c>
      <x:c r="E57" s="4" t="n">
        <x:f>E56-D56</x:f>
        <x:v>53550.000000000466</x:v>
      </x:c>
      <x:c r="F57" s="4" t="n">
        <x:f>F56-E56</x:f>
        <x:v>54621</x:v>
      </x:c>
      <x:c r="G57" s="4" t="n">
        <x:f>G56-F56</x:f>
        <x:v>55713.41999999946</x:v>
      </x:c>
      <x:c r="H57" s="4" t="n">
        <x:f>H56-G56</x:f>
        <x:v>56827.6884000008</x:v>
      </x:c>
      <x:c r="I57" s="4" t="n">
        <x:f>I56-H56</x:f>
        <x:v>57964.2421679995</x:v>
      </x:c>
      <x:c r="J57" s="4" t="n">
        <x:f>J56-I56</x:f>
        <x:v>59123.52701136004</x:v>
      </x:c>
      <x:c r="K57" s="4" t="n">
        <x:f>K56-J56</x:f>
        <x:v>60305.997551586945</x:v>
      </x:c>
      <x:c r="L57" s="4" t="n">
        <x:f>L56-K56</x:f>
        <x:v>61512.11750261951</x:v>
      </x:c>
      <x:c r="M57" s="4" t="n">
        <x:f>M56-L56</x:f>
        <x:v>62742.35985267162</x:v>
      </x:c>
      <x:c r="N57" s="4" t="n">
        <x:f>N56-M56</x:f>
        <x:v>63997.20704972418</x:v>
      </x:c>
    </x:row>
    <x:row r="58" ht="31" customHeight="1">
      <x:c r="A58" s="10" t="str">
        <x:v>Opening debt</x:v>
      </x:c>
      <x:c r="B58" s="4"/>
      <x:c r="C58" s="4" t="n">
        <x:f>$C$19</x:f>
        <x:v>300000</x:v>
      </x:c>
      <x:c r="D58" s="4" t="n">
        <x:f>C61</x:f>
        <x:v>295000</x:v>
      </x:c>
      <x:c r="E58" s="4" t="n">
        <x:f>D61</x:f>
        <x:v>290000</x:v>
      </x:c>
      <x:c r="F58" s="4" t="n">
        <x:f>E61</x:f>
        <x:v>285000</x:v>
      </x:c>
      <x:c r="G58" s="4" t="n">
        <x:f>F61</x:f>
        <x:v>280000</x:v>
      </x:c>
      <x:c r="H58" s="4" t="n">
        <x:f>G61</x:f>
        <x:v>275000</x:v>
      </x:c>
      <x:c r="I58" s="4" t="n">
        <x:f>H61</x:f>
        <x:v>270000</x:v>
      </x:c>
      <x:c r="J58" s="4" t="n">
        <x:f>I61</x:f>
        <x:v>265000</x:v>
      </x:c>
      <x:c r="K58" s="4" t="n">
        <x:f>J61</x:f>
        <x:v>260000</x:v>
      </x:c>
      <x:c r="L58" s="4" t="n">
        <x:f>K61</x:f>
        <x:v>255000</x:v>
      </x:c>
      <x:c r="M58" s="4" t="n">
        <x:f>L61</x:f>
        <x:v>250000</x:v>
      </x:c>
      <x:c r="N58" s="4" t="n">
        <x:f>M61</x:f>
        <x:v>245000</x:v>
      </x:c>
    </x:row>
    <x:row r="59" ht="31" customHeight="1">
      <x:c r="A59" s="10" t="str">
        <x:v>Interest cash</x:v>
      </x:c>
      <x:c r="B59" s="4"/>
      <x:c r="C59" s="4" t="n">
        <x:f>C58*$C$20/$C$30</x:f>
        <x:v>3000</x:v>
      </x:c>
      <x:c r="D59" s="4" t="n">
        <x:f>D58*$C$20/$C$30</x:f>
        <x:v>2950</x:v>
      </x:c>
      <x:c r="E59" s="4" t="n">
        <x:f>E58*$C$20/$C$30</x:f>
        <x:v>2900</x:v>
      </x:c>
      <x:c r="F59" s="4" t="n">
        <x:f>F58*$C$20/$C$30</x:f>
        <x:v>2850</x:v>
      </x:c>
      <x:c r="G59" s="4" t="n">
        <x:f>G58*$C$20/$C$30</x:f>
        <x:v>2800</x:v>
      </x:c>
      <x:c r="H59" s="4" t="n">
        <x:f>H58*$C$20/$C$30</x:f>
        <x:v>2750</x:v>
      </x:c>
      <x:c r="I59" s="4" t="n">
        <x:f>I58*$C$20/$C$30</x:f>
        <x:v>2700</x:v>
      </x:c>
      <x:c r="J59" s="4" t="n">
        <x:f>J58*$C$20/$C$30</x:f>
        <x:v>2650</x:v>
      </x:c>
      <x:c r="K59" s="4" t="n">
        <x:f>K58*$C$20/$C$30</x:f>
        <x:v>2600</x:v>
      </x:c>
      <x:c r="L59" s="4" t="n">
        <x:f>L58*$C$20/$C$30</x:f>
        <x:v>2550</x:v>
      </x:c>
      <x:c r="M59" s="4" t="n">
        <x:f>M58*$C$20/$C$30</x:f>
        <x:v>2500</x:v>
      </x:c>
      <x:c r="N59" s="4" t="n">
        <x:f>N58*$C$20/$C$30</x:f>
        <x:v>2450</x:v>
      </x:c>
    </x:row>
    <x:row r="60" ht="31" customHeight="1">
      <x:c r="A60" s="10" t="str">
        <x:v>Principal repayment</x:v>
      </x:c>
      <x:c r="B60" s="4"/>
      <x:c r="C60" s="4" t="n">
        <x:f>MIN(C58,$C$19/$C$21)</x:f>
        <x:v>5000</x:v>
      </x:c>
      <x:c r="D60" s="4" t="n">
        <x:f>MIN(D58,$C$19/$C$21)</x:f>
        <x:v>5000</x:v>
      </x:c>
      <x:c r="E60" s="4" t="n">
        <x:f>MIN(E58,$C$19/$C$21)</x:f>
        <x:v>5000</x:v>
      </x:c>
      <x:c r="F60" s="4" t="n">
        <x:f>MIN(F58,$C$19/$C$21)</x:f>
        <x:v>5000</x:v>
      </x:c>
      <x:c r="G60" s="4" t="n">
        <x:f>MIN(G58,$C$19/$C$21)</x:f>
        <x:v>5000</x:v>
      </x:c>
      <x:c r="H60" s="4" t="n">
        <x:f>MIN(H58,$C$19/$C$21)</x:f>
        <x:v>5000</x:v>
      </x:c>
      <x:c r="I60" s="4" t="n">
        <x:f>MIN(I58,$C$19/$C$21)</x:f>
        <x:v>5000</x:v>
      </x:c>
      <x:c r="J60" s="4" t="n">
        <x:f>MIN(J58,$C$19/$C$21)</x:f>
        <x:v>5000</x:v>
      </x:c>
      <x:c r="K60" s="4" t="n">
        <x:f>MIN(K58,$C$19/$C$21)</x:f>
        <x:v>5000</x:v>
      </x:c>
      <x:c r="L60" s="4" t="n">
        <x:f>MIN(L58,$C$19/$C$21)</x:f>
        <x:v>5000</x:v>
      </x:c>
      <x:c r="M60" s="4" t="n">
        <x:f>MIN(M58,$C$19/$C$21)</x:f>
        <x:v>5000</x:v>
      </x:c>
      <x:c r="N60" s="4" t="n">
        <x:f>MIN(N58,$C$19/$C$21)</x:f>
        <x:v>5000</x:v>
      </x:c>
    </x:row>
    <x:row r="61" ht="31" customHeight="1">
      <x:c r="A61" s="10" t="str">
        <x:v>Closing debt</x:v>
      </x:c>
      <x:c r="B61" s="4"/>
      <x:c r="C61" s="4" t="n">
        <x:f>C58-C60</x:f>
        <x:v>295000</x:v>
      </x:c>
      <x:c r="D61" s="4" t="n">
        <x:f>D58-D60</x:f>
        <x:v>290000</x:v>
      </x:c>
      <x:c r="E61" s="4" t="n">
        <x:f>E58-E60</x:f>
        <x:v>285000</x:v>
      </x:c>
      <x:c r="F61" s="4" t="n">
        <x:f>F58-F60</x:f>
        <x:v>280000</x:v>
      </x:c>
      <x:c r="G61" s="4" t="n">
        <x:f>G58-G60</x:f>
        <x:v>275000</x:v>
      </x:c>
      <x:c r="H61" s="4" t="n">
        <x:f>H58-H60</x:f>
        <x:v>270000</x:v>
      </x:c>
      <x:c r="I61" s="4" t="n">
        <x:f>I58-I60</x:f>
        <x:v>265000</x:v>
      </x:c>
      <x:c r="J61" s="4" t="n">
        <x:f>J58-J60</x:f>
        <x:v>260000</x:v>
      </x:c>
      <x:c r="K61" s="4" t="n">
        <x:f>K58-K60</x:f>
        <x:v>255000</x:v>
      </x:c>
      <x:c r="L61" s="4" t="n">
        <x:f>L58-L60</x:f>
        <x:v>250000</x:v>
      </x:c>
      <x:c r="M61" s="4" t="n">
        <x:f>M58-M60</x:f>
        <x:v>245000</x:v>
      </x:c>
      <x:c r="N61" s="4" t="n">
        <x:f>N58-N60</x:f>
        <x:v>240000</x:v>
      </x:c>
    </x:row>
    <x:row r="62" ht="31" customHeight="1">
      <x:c r="A62" s="10" t="str">
        <x:v>Maintenance capital spend</x:v>
      </x:c>
      <x:c r="B62" s="4"/>
      <x:c r="C62" s="4" t="n">
        <x:f>$C$22</x:f>
        <x:v>1600</x:v>
      </x:c>
      <x:c r="D62" s="4" t="n">
        <x:f>$C$22</x:f>
        <x:v>1600</x:v>
      </x:c>
      <x:c r="E62" s="4" t="n">
        <x:f>$C$22</x:f>
        <x:v>1600</x:v>
      </x:c>
      <x:c r="F62" s="4" t="n">
        <x:f>$C$22</x:f>
        <x:v>1600</x:v>
      </x:c>
      <x:c r="G62" s="4" t="n">
        <x:f>$C$22</x:f>
        <x:v>1600</x:v>
      </x:c>
      <x:c r="H62" s="4" t="n">
        <x:f>$C$22</x:f>
        <x:v>1600</x:v>
      </x:c>
      <x:c r="I62" s="4" t="n">
        <x:f>$C$22</x:f>
        <x:v>1600</x:v>
      </x:c>
      <x:c r="J62" s="4" t="n">
        <x:f>$C$22</x:f>
        <x:v>1600</x:v>
      </x:c>
      <x:c r="K62" s="4" t="n">
        <x:f>$C$22</x:f>
        <x:v>1600</x:v>
      </x:c>
      <x:c r="L62" s="4" t="n">
        <x:f>$C$22</x:f>
        <x:v>1600</x:v>
      </x:c>
      <x:c r="M62" s="4" t="n">
        <x:f>$C$22</x:f>
        <x:v>1600</x:v>
      </x:c>
      <x:c r="N62" s="4" t="n">
        <x:f>$C$22</x:f>
        <x:v>1600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-2114600</x:v>
      </x:c>
      <x:c r="D66" s="22" t="n">
        <x:f>D50-D57-SUM(D59:D60)-SUM(D62:D65)</x:f>
        <x:v>483650.00000000035</x:v>
      </x:c>
      <x:c r="E66" s="22" t="n">
        <x:f>E50-E57-SUM(E59:E60)-SUM(E62:E65)</x:f>
        <x:v>508909.8999999998</x:v>
      </x:c>
      <x:c r="F66" s="22" t="n">
        <x:f>F50-F57-SUM(F59:F60)-SUM(F62:F65)</x:f>
        <x:v>534720.0357000001</x:v>
      </x:c>
      <x:c r="G66" s="22" t="n">
        <x:f>G50-G57-SUM(G59:G60)-SUM(G62:G65)</x:f>
        <x:v>561091.5499271008</x:v>
      </x:c>
      <x:c r="H66" s="22" t="n">
        <x:f>H50-H57-SUM(H59:H60)-SUM(H62:H65)</x:f>
        <x:v>588035.8087792809</x:v>
      </x:c>
      <x:c r="I66" s="22" t="n">
        <x:f>I50-I57-SUM(I59:I60)-SUM(I62:I65)</x:f>
        <x:v>615564.4060920682</x:v>
      </x:c>
      <x:c r="J66" s="22" t="n">
        <x:f>J50-J57-SUM(J59:J60)-SUM(J62:J65)</x:f>
        <x:v>643689.1679945212</x:v>
      </x:c>
      <x:c r="K66" s="22" t="n">
        <x:f>K50-K57-SUM(K59:K60)-SUM(K62:K65)</x:f>
        <x:v>672422.1575563654</x:v>
      </x:c>
      <x:c r="L66" s="22" t="n">
        <x:f>L50-L57-SUM(L59:L60)-SUM(L62:L65)</x:f>
        <x:v>701775.6795280518</x:v>
      </x:c>
      <x:c r="M66" s="22" t="n">
        <x:f>M50-M57-SUM(M59:M60)-SUM(M62:M65)</x:f>
        <x:v>731762.2851756343</x:v>
      </x:c>
      <x:c r="N66" s="22" t="n">
        <x:f>N50-N57-SUM(N59:N60)-SUM(N62:N65)</x:f>
        <x:v>762394.7772123399</x:v>
      </x:c>
    </x:row>
    <x:row r="67" ht="31" customHeight="1">
      <x:c r="A67" s="10" t="str">
        <x:v>Opening cash</x:v>
      </x:c>
      <x:c r="B67" s="4"/>
      <x:c r="C67" s="4" t="n">
        <x:f>$C$15</x:f>
        <x:v>1600000</x:v>
      </x:c>
      <x:c r="D67" s="4" t="n">
        <x:f>C68</x:f>
        <x:v>-514600</x:v>
      </x:c>
      <x:c r="E67" s="4" t="n">
        <x:f>D68</x:f>
        <x:v>-30949.99999999965</x:v>
      </x:c>
      <x:c r="F67" s="4" t="n">
        <x:f>E68</x:f>
        <x:v>477959.90000000014</x:v>
      </x:c>
      <x:c r="G67" s="4" t="n">
        <x:f>F68</x:f>
        <x:v>1012679.9357000003</x:v>
      </x:c>
      <x:c r="H67" s="4" t="n">
        <x:f>G68</x:f>
        <x:v>1573771.485627101</x:v>
      </x:c>
      <x:c r="I67" s="4" t="n">
        <x:f>H68</x:f>
        <x:v>2161807.294406382</x:v>
      </x:c>
      <x:c r="J67" s="4" t="n">
        <x:f>I68</x:f>
        <x:v>2777371.70049845</x:v>
      </x:c>
      <x:c r="K67" s="4" t="n">
        <x:f>J68</x:f>
        <x:v>3421060.868492971</x:v>
      </x:c>
      <x:c r="L67" s="4" t="n">
        <x:f>K68</x:f>
        <x:v>4093483.0260493364</x:v>
      </x:c>
      <x:c r="M67" s="4" t="n">
        <x:f>L68</x:f>
        <x:v>4795258.705577388</x:v>
      </x:c>
      <x:c r="N67" s="4" t="n">
        <x:f>M68</x:f>
        <x:v>5527020.990753023</x:v>
      </x:c>
    </x:row>
    <x:row r="68" ht="31" customHeight="1">
      <x:c r="A68" s="23" t="str">
        <x:v>Closing cash</x:v>
      </x:c>
      <x:c r="B68" s="22"/>
      <x:c r="C68" s="22" t="n">
        <x:f>C67+C66</x:f>
        <x:v>-514600</x:v>
      </x:c>
      <x:c r="D68" s="22" t="n">
        <x:f>D67+D66</x:f>
        <x:v>-30949.99999999965</x:v>
      </x:c>
      <x:c r="E68" s="22" t="n">
        <x:f>E67+E66</x:f>
        <x:v>477959.90000000014</x:v>
      </x:c>
      <x:c r="F68" s="22" t="n">
        <x:f>F67+F66</x:f>
        <x:v>1012679.9357000003</x:v>
      </x:c>
      <x:c r="G68" s="22" t="n">
        <x:f>G67+G66</x:f>
        <x:v>1573771.485627101</x:v>
      </x:c>
      <x:c r="H68" s="22" t="n">
        <x:f>H67+H66</x:f>
        <x:v>2161807.294406382</x:v>
      </x:c>
      <x:c r="I68" s="22" t="n">
        <x:f>I67+I66</x:f>
        <x:v>2777371.70049845</x:v>
      </x:c>
      <x:c r="J68" s="22" t="n">
        <x:f>J67+J66</x:f>
        <x:v>3421060.868492971</x:v>
      </x:c>
      <x:c r="K68" s="22" t="n">
        <x:f>K67+K66</x:f>
        <x:v>4093483.0260493364</x:v>
      </x:c>
      <x:c r="L68" s="22" t="n">
        <x:f>L67+L66</x:f>
        <x:v>4795258.705577388</x:v>
      </x:c>
      <x:c r="M68" s="22" t="n">
        <x:f>M67+M66</x:f>
        <x:v>5527020.990753023</x:v>
      </x:c>
      <x:c r="N68" s="22" t="n">
        <x:f>N67+N66</x:f>
        <x:v>6289415.767965363</x:v>
      </x:c>
    </x:row>
    <x:row r="69" ht="31" customHeight="1">
      <x:c r="A69" s="10" t="str">
        <x:v>Cash-buffer shortfall</x:v>
      </x:c>
      <x:c r="B69" s="4"/>
      <x:c r="C69" s="4" t="n">
        <x:f>MAX(0,$C$15-C68)</x:f>
        <x:v>2114600</x:v>
      </x:c>
      <x:c r="D69" s="4" t="n">
        <x:f>MAX(0,$C$15-D68)</x:f>
        <x:v>1630949.9999999995</x:v>
      </x:c>
      <x:c r="E69" s="4" t="n">
        <x:f>MAX(0,$C$15-E68)</x:f>
        <x:v>1122040.0999999999</x:v>
      </x:c>
      <x:c r="F69" s="4" t="n">
        <x:f>MAX(0,$C$15-F68)</x:f>
        <x:v>587320.0642999997</x:v>
      </x:c>
      <x:c r="G69" s="4" t="n">
        <x:f>MAX(0,$C$15-G68)</x:f>
        <x:v>26228.514372898964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65</x:v>
      </x:c>
      <x:c r="D70" s="30" t="n">
        <x:f>IF(SUM(D59:D60)&gt;0,D50/SUM(D59:D60),"No debt")</x:f>
        <x:v>68.64150943396226</x:v>
      </x:c>
      <x:c r="E70" s="30" t="n">
        <x:f>IF(SUM(E59:E60)&gt;0,E50/SUM(E59:E60),"No debt")</x:f>
        <x:v>72.39998734177219</x:v>
      </x:c>
      <x:c r="F70" s="30" t="n">
        <x:f>IF(SUM(F59:F60)&gt;0,F50/SUM(F59:F60),"No debt")</x:f>
        <x:v>76.27911282802549</x:v>
      </x:c>
      <x:c r="G70" s="30" t="n">
        <x:f>IF(SUM(G59:G60)&gt;0,G50/SUM(G59:G60),"No debt")</x:f>
        <x:v>80.28268845219233</x:v>
      </x:c>
      <x:c r="H70" s="30" t="n">
        <x:f>IF(SUM(H59:H60)&gt;0,H50/SUM(H59:H60),"No debt")</x:f>
        <x:v>84.41464479732667</x:v>
      </x:c>
      <x:c r="I70" s="30" t="n">
        <x:f>IF(SUM(I59:I60)&gt;0,I50/SUM(I59:I60),"No debt")</x:f>
        <x:v>88.67904522858022</x:v>
      </x:c>
      <x:c r="J70" s="30" t="n">
        <x:f>IF(SUM(J59:J60)&gt;0,J50/SUM(J59:J60),"No debt")</x:f>
        <x:v>93.08009085044199</x:v>
      </x:c>
      <x:c r="K70" s="30" t="n">
        <x:f>IF(SUM(K59:K60)&gt;0,K50/SUM(K59:K60),"No debt")</x:f>
        <x:v>97.62212567209899</x:v>
      </x:c>
      <x:c r="L70" s="30" t="n">
        <x:f>IF(SUM(L59:L60)&gt;0,L50/SUM(L59:L60),"No debt")</x:f>
        <x:v>102.30964199081738</x:v>
      </x:c>
      <x:c r="M70" s="30" t="n">
        <x:f>IF(SUM(M59:M60)&gt;0,M50/SUM(M59:M60),"No debt")</x:f>
        <x:v>107.14728600377413</x:v>
      </x:c>
      <x:c r="N70" s="30" t="n">
        <x:f>IF(SUM(N59:N60)&gt;0,N50/SUM(N59:N60),"No debt")</x:f>
        <x:v>112.13986365933746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0.6666666666666666</x:v>
      </x:c>
      <x:c r="D71" s="20" t="n">
        <x:f>IF($C$10&gt;0,D43/$C$10,0)</x:f>
        <x:v>0.6799999999999999</x:v>
      </x:c>
      <x:c r="E71" s="20" t="n">
        <x:f>IF($C$10&gt;0,E43/$C$10,0)</x:f>
        <x:v>0.6936</x:v>
      </x:c>
      <x:c r="F71" s="20" t="n">
        <x:f>IF($C$10&gt;0,F43/$C$10,0)</x:f>
        <x:v>0.7074719999999999</x:v>
      </x:c>
      <x:c r="G71" s="20" t="n">
        <x:f>IF($C$10&gt;0,G43/$C$10,0)</x:f>
        <x:v>0.72162144</x:v>
      </x:c>
      <x:c r="H71" s="20" t="n">
        <x:f>IF($C$10&gt;0,H43/$C$10,0)</x:f>
        <x:v>0.7360538688000001</x:v>
      </x:c>
      <x:c r="I71" s="20" t="n">
        <x:f>IF($C$10&gt;0,I43/$C$10,0)</x:f>
        <x:v>0.750774946176</x:v>
      </x:c>
      <x:c r="J71" s="20" t="n">
        <x:f>IF($C$10&gt;0,J43/$C$10,0)</x:f>
        <x:v>0.76579044509952</x:v>
      </x:c>
      <x:c r="K71" s="20" t="n">
        <x:f>IF($C$10&gt;0,K43/$C$10,0)</x:f>
        <x:v>0.7811062540015103</x:v>
      </x:c>
      <x:c r="L71" s="20" t="n">
        <x:f>IF($C$10&gt;0,L43/$C$10,0)</x:f>
        <x:v>0.7967283790815406</x:v>
      </x:c>
      <x:c r="M71" s="20" t="n">
        <x:f>IF($C$10&gt;0,M43/$C$10,0)</x:f>
        <x:v>0.8126629466631715</x:v>
      </x:c>
      <x:c r="N71" s="20" t="n">
        <x:f>IF($C$10&gt;0,N43/$C$10,0)</x:f>
        <x:v>0.8289162055964348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3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ef9b415ee43e43c1"/>
</x:worksheet>
</file>

<file path=xl/worksheets/sheet1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Rooftop Solar EPC &amp; Installer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320</x:v>
      </x:c>
      <x:c r="D6" s="10" t="str">
        <x:v>accepted installed kW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15040000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47000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11840000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37000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10000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1450000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3200000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500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1750000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0.2127659574468085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145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2500000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6815000.000000001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500000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0.64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3500000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6700000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45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5200000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25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12032000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1500000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1612800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162800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15040000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5000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201717829.51103407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25228696.65741045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-336046.1336859977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-17749666.666666668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17749666.666666668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21249666.666666668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320</x:v>
      </x:c>
      <x:c r="D43" s="4" t="n">
        <x:f>MIN($C$10,$C$6*(1+$C$11)^1)</x:f>
        <x:v>326.4</x:v>
      </x:c>
      <x:c r="E43" s="4" t="n">
        <x:f>MIN($C$10,$C$6*(1+$C$11)^2)</x:f>
        <x:v>332.928</x:v>
      </x:c>
      <x:c r="F43" s="4" t="n">
        <x:f>MIN($C$10,$C$6*(1+$C$11)^3)</x:f>
        <x:v>339.58655999999996</x:v>
      </x:c>
      <x:c r="G43" s="4" t="n">
        <x:f>MIN($C$10,$C$6*(1+$C$11)^4)</x:f>
        <x:v>346.3782912</x:v>
      </x:c>
      <x:c r="H43" s="4" t="n">
        <x:f>MIN($C$10,$C$6*(1+$C$11)^5)</x:f>
        <x:v>353.30585702400003</x:v>
      </x:c>
      <x:c r="I43" s="4" t="n">
        <x:f>MIN($C$10,$C$6*(1+$C$11)^6)</x:f>
        <x:v>360.37197416448004</x:v>
      </x:c>
      <x:c r="J43" s="4" t="n">
        <x:f>MIN($C$10,$C$6*(1+$C$11)^7)</x:f>
        <x:v>367.57941364776957</x:v>
      </x:c>
      <x:c r="K43" s="4" t="n">
        <x:f>MIN($C$10,$C$6*(1+$C$11)^8)</x:f>
        <x:v>374.93100192072495</x:v>
      </x:c>
      <x:c r="L43" s="4" t="n">
        <x:f>MIN($C$10,$C$6*(1+$C$11)^9)</x:f>
        <x:v>382.42962195913947</x:v>
      </x:c>
      <x:c r="M43" s="4" t="n">
        <x:f>MIN($C$10,$C$6*(1+$C$11)^10)</x:f>
        <x:v>390.0782143983223</x:v>
      </x:c>
      <x:c r="N43" s="4" t="n">
        <x:f>MIN($C$10,$C$6*(1+$C$11)^11)</x:f>
        <x:v>397.87977868628866</x:v>
      </x:c>
    </x:row>
    <x:row r="44" ht="31" customHeight="1">
      <x:c r="A44" s="10" t="str">
        <x:v>Net unit price</x:v>
      </x:c>
      <x:c r="B44" s="4"/>
      <x:c r="C44" s="4" t="n">
        <x:f>$C$7*(1+$C$34)^0</x:f>
        <x:v>47000</x:v>
      </x:c>
      <x:c r="D44" s="4" t="n">
        <x:f>$C$7*(1+$C$34)^1</x:f>
        <x:v>47000</x:v>
      </x:c>
      <x:c r="E44" s="4" t="n">
        <x:f>$C$7*(1+$C$34)^2</x:f>
        <x:v>47000</x:v>
      </x:c>
      <x:c r="F44" s="4" t="n">
        <x:f>$C$7*(1+$C$34)^3</x:f>
        <x:v>47000</x:v>
      </x:c>
      <x:c r="G44" s="4" t="n">
        <x:f>$C$7*(1+$C$34)^4</x:f>
        <x:v>47000</x:v>
      </x:c>
      <x:c r="H44" s="4" t="n">
        <x:f>$C$7*(1+$C$34)^5</x:f>
        <x:v>47000</x:v>
      </x:c>
      <x:c r="I44" s="4" t="n">
        <x:f>$C$7*(1+$C$34)^6</x:f>
        <x:v>47000</x:v>
      </x:c>
      <x:c r="J44" s="4" t="n">
        <x:f>$C$7*(1+$C$34)^7</x:f>
        <x:v>47000</x:v>
      </x:c>
      <x:c r="K44" s="4" t="n">
        <x:f>$C$7*(1+$C$34)^8</x:f>
        <x:v>47000</x:v>
      </x:c>
      <x:c r="L44" s="4" t="n">
        <x:f>$C$7*(1+$C$34)^9</x:f>
        <x:v>47000</x:v>
      </x:c>
      <x:c r="M44" s="4" t="n">
        <x:f>$C$7*(1+$C$34)^10</x:f>
        <x:v>47000</x:v>
      </x:c>
      <x:c r="N44" s="4" t="n">
        <x:f>$C$7*(1+$C$34)^11</x:f>
        <x:v>47000</x:v>
      </x:c>
    </x:row>
    <x:row r="45" ht="31" customHeight="1">
      <x:c r="A45" s="23" t="str">
        <x:v>Net revenue</x:v>
      </x:c>
      <x:c r="B45" s="22"/>
      <x:c r="C45" s="22" t="n">
        <x:f>C43*C44</x:f>
        <x:v>15040000</x:v>
      </x:c>
      <x:c r="D45" s="22" t="n">
        <x:f>D43*D44</x:f>
        <x:v>15340799.999999998</x:v>
      </x:c>
      <x:c r="E45" s="22" t="n">
        <x:f>E43*E44</x:f>
        <x:v>15647616</x:v>
      </x:c>
      <x:c r="F45" s="22" t="n">
        <x:f>F43*F44</x:f>
        <x:v>15960568.319999998</x:v>
      </x:c>
      <x:c r="G45" s="22" t="n">
        <x:f>G43*G44</x:f>
        <x:v>16279779.686399998</x:v>
      </x:c>
      <x:c r="H45" s="22" t="n">
        <x:f>H43*H44</x:f>
        <x:v>16605375.280128002</x:v>
      </x:c>
      <x:c r="I45" s="22" t="n">
        <x:f>I43*I44</x:f>
        <x:v>16937482.785730563</x:v>
      </x:c>
      <x:c r="J45" s="22" t="n">
        <x:f>J43*J44</x:f>
        <x:v>17276232.441445168</x:v>
      </x:c>
      <x:c r="K45" s="22" t="n">
        <x:f>K43*K44</x:f>
        <x:v>17621757.090274073</x:v>
      </x:c>
      <x:c r="L45" s="22" t="n">
        <x:f>L43*L44</x:f>
        <x:v>17974192.232079554</x:v>
      </x:c>
      <x:c r="M45" s="22" t="n">
        <x:f>M43*M44</x:f>
        <x:v>18333676.076721147</x:v>
      </x:c>
      <x:c r="N45" s="22" t="n">
        <x:f>N43*N44</x:f>
        <x:v>18700349.598255567</x:v>
      </x:c>
    </x:row>
    <x:row r="46" ht="31" customHeight="1">
      <x:c r="A46" s="10" t="str">
        <x:v>Variable cost per unit</x:v>
      </x:c>
      <x:c r="B46" s="4"/>
      <x:c r="C46" s="4" t="n">
        <x:f>$C$8</x:f>
        <x:v>37000</x:v>
      </x:c>
      <x:c r="D46" s="4" t="n">
        <x:f>$C$8</x:f>
        <x:v>37000</x:v>
      </x:c>
      <x:c r="E46" s="4" t="n">
        <x:f>$C$8</x:f>
        <x:v>37000</x:v>
      </x:c>
      <x:c r="F46" s="4" t="n">
        <x:f>$C$8</x:f>
        <x:v>37000</x:v>
      </x:c>
      <x:c r="G46" s="4" t="n">
        <x:f>$C$8</x:f>
        <x:v>37000</x:v>
      </x:c>
      <x:c r="H46" s="4" t="n">
        <x:f>$C$8</x:f>
        <x:v>37000</x:v>
      </x:c>
      <x:c r="I46" s="4" t="n">
        <x:f>$C$8</x:f>
        <x:v>37000</x:v>
      </x:c>
      <x:c r="J46" s="4" t="n">
        <x:f>$C$8</x:f>
        <x:v>37000</x:v>
      </x:c>
      <x:c r="K46" s="4" t="n">
        <x:f>$C$8</x:f>
        <x:v>37000</x:v>
      </x:c>
      <x:c r="L46" s="4" t="n">
        <x:f>$C$8</x:f>
        <x:v>37000</x:v>
      </x:c>
      <x:c r="M46" s="4" t="n">
        <x:f>$C$8</x:f>
        <x:v>37000</x:v>
      </x:c>
      <x:c r="N46" s="4" t="n">
        <x:f>$C$8</x:f>
        <x:v>37000</x:v>
      </x:c>
    </x:row>
    <x:row r="47" ht="31" customHeight="1">
      <x:c r="A47" s="10" t="str">
        <x:v>Variable cash cost</x:v>
      </x:c>
      <x:c r="B47" s="4"/>
      <x:c r="C47" s="4" t="n">
        <x:f>C43*C46</x:f>
        <x:v>11840000</x:v>
      </x:c>
      <x:c r="D47" s="4" t="n">
        <x:f>D43*D46</x:f>
        <x:v>12076800</x:v>
      </x:c>
      <x:c r="E47" s="4" t="n">
        <x:f>E43*E46</x:f>
        <x:v>12318336</x:v>
      </x:c>
      <x:c r="F47" s="4" t="n">
        <x:f>F43*F46</x:f>
        <x:v>12564702.719999999</x:v>
      </x:c>
      <x:c r="G47" s="4" t="n">
        <x:f>G43*G46</x:f>
        <x:v>12815996.7744</x:v>
      </x:c>
      <x:c r="H47" s="4" t="n">
        <x:f>H43*H46</x:f>
        <x:v>13072316.709888002</x:v>
      </x:c>
      <x:c r="I47" s="4" t="n">
        <x:f>I43*I46</x:f>
        <x:v>13333763.044085762</x:v>
      </x:c>
      <x:c r="J47" s="4" t="n">
        <x:f>J43*J46</x:f>
        <x:v>13600438.304967474</x:v>
      </x:c>
      <x:c r="K47" s="4" t="n">
        <x:f>K43*K46</x:f>
        <x:v>13872447.071066823</x:v>
      </x:c>
      <x:c r="L47" s="4" t="n">
        <x:f>L43*L46</x:f>
        <x:v>14149896.01248816</x:v>
      </x:c>
      <x:c r="M47" s="4" t="n">
        <x:f>M43*M46</x:f>
        <x:v>14432893.932737926</x:v>
      </x:c>
      <x:c r="N47" s="4" t="n">
        <x:f>N43*N46</x:f>
        <x:v>14721551.81139268</x:v>
      </x:c>
    </x:row>
    <x:row r="48" ht="31" customHeight="1">
      <x:c r="A48" s="10" t="str">
        <x:v>Contribution</x:v>
      </x:c>
      <x:c r="B48" s="4"/>
      <x:c r="C48" s="4" t="n">
        <x:f>C45-C47</x:f>
        <x:v>3200000</x:v>
      </x:c>
      <x:c r="D48" s="4" t="n">
        <x:f>D45-D47</x:f>
        <x:v>3263999.999999998</x:v>
      </x:c>
      <x:c r="E48" s="4" t="n">
        <x:f>E45-E47</x:f>
        <x:v>3329280</x:v>
      </x:c>
      <x:c r="F48" s="4" t="n">
        <x:f>F45-F47</x:f>
        <x:v>3395865.5999999996</x:v>
      </x:c>
      <x:c r="G48" s="4" t="n">
        <x:f>G45-G47</x:f>
        <x:v>3463782.9119999986</x:v>
      </x:c>
      <x:c r="H48" s="4" t="n">
        <x:f>H45-H47</x:f>
        <x:v>3533058.5702400003</x:v>
      </x:c>
      <x:c r="I48" s="4" t="n">
        <x:f>I45-I47</x:f>
        <x:v>3603719.7416448016</x:v>
      </x:c>
      <x:c r="J48" s="4" t="n">
        <x:f>J45-J47</x:f>
        <x:v>3675794.136477694</x:v>
      </x:c>
      <x:c r="K48" s="4" t="n">
        <x:f>K45-K47</x:f>
        <x:v>3749310.0192072503</x:v>
      </x:c>
      <x:c r="L48" s="4" t="n">
        <x:f>L45-L47</x:f>
        <x:v>3824296.219591394</x:v>
      </x:c>
      <x:c r="M48" s="4" t="n">
        <x:f>M45-M47</x:f>
        <x:v>3900782.1439832207</x:v>
      </x:c>
      <x:c r="N48" s="4" t="n">
        <x:f>N45-N47</x:f>
        <x:v>3978797.7868628874</x:v>
      </x:c>
    </x:row>
    <x:row r="49" ht="31" customHeight="1">
      <x:c r="A49" s="10" t="str">
        <x:v>Fixed cash costs</x:v>
      </x:c>
      <x:c r="B49" s="4"/>
      <x:c r="C49" s="4" t="n">
        <x:f>$C$9*(1+$C$12)^0</x:f>
        <x:v>1450000</x:v>
      </x:c>
      <x:c r="D49" s="4" t="n">
        <x:f>$C$9*(1+$C$12)^1</x:f>
        <x:v>1454349.9999999998</x:v>
      </x:c>
      <x:c r="E49" s="4" t="n">
        <x:f>$C$9*(1+$C$12)^2</x:f>
        <x:v>1458713.0499999996</x:v>
      </x:c>
      <x:c r="F49" s="4" t="n">
        <x:f>$C$9*(1+$C$12)^3</x:f>
        <x:v>1463089.1891499995</x:v>
      </x:c>
      <x:c r="G49" s="4" t="n">
        <x:f>$C$9*(1+$C$12)^4</x:f>
        <x:v>1467478.4567174492</x:v>
      </x:c>
      <x:c r="H49" s="4" t="n">
        <x:f>$C$9*(1+$C$12)^5</x:f>
        <x:v>1471880.8920876016</x:v>
      </x:c>
      <x:c r="I49" s="4" t="n">
        <x:f>$C$9*(1+$C$12)^6</x:f>
        <x:v>1476296.534763864</x:v>
      </x:c>
      <x:c r="J49" s="4" t="n">
        <x:f>$C$9*(1+$C$12)^7</x:f>
        <x:v>1480725.4243681554</x:v>
      </x:c>
      <x:c r="K49" s="4" t="n">
        <x:f>$C$9*(1+$C$12)^8</x:f>
        <x:v>1485167.6006412597</x:v>
      </x:c>
      <x:c r="L49" s="4" t="n">
        <x:f>$C$9*(1+$C$12)^9</x:f>
        <x:v>1489623.1034431832</x:v>
      </x:c>
      <x:c r="M49" s="4" t="n">
        <x:f>$C$9*(1+$C$12)^10</x:f>
        <x:v>1494091.9727535124</x:v>
      </x:c>
      <x:c r="N49" s="4" t="n">
        <x:f>$C$9*(1+$C$12)^11</x:f>
        <x:v>1498574.2486717731</x:v>
      </x:c>
    </x:row>
    <x:row r="50" ht="31" customHeight="1">
      <x:c r="A50" s="23" t="str">
        <x:v>Operating cash profit (EBITDA)</x:v>
      </x:c>
      <x:c r="B50" s="22"/>
      <x:c r="C50" s="22" t="n">
        <x:f>C48-C49</x:f>
        <x:v>1750000</x:v>
      </x:c>
      <x:c r="D50" s="22" t="n">
        <x:f>D48-D49</x:f>
        <x:v>1809649.9999999984</x:v>
      </x:c>
      <x:c r="E50" s="22" t="n">
        <x:f>E48-E49</x:f>
        <x:v>1870566.9500000004</x:v>
      </x:c>
      <x:c r="F50" s="22" t="n">
        <x:f>F48-F49</x:f>
        <x:v>1932776.41085</x:v>
      </x:c>
      <x:c r="G50" s="22" t="n">
        <x:f>G48-G49</x:f>
        <x:v>1996304.4552825494</x:v>
      </x:c>
      <x:c r="H50" s="22" t="n">
        <x:f>H48-H49</x:f>
        <x:v>2061177.6781523987</x:v>
      </x:c>
      <x:c r="I50" s="22" t="n">
        <x:f>I48-I49</x:f>
        <x:v>2127423.2068809373</x:v>
      </x:c>
      <x:c r="J50" s="22" t="n">
        <x:f>J48-J49</x:f>
        <x:v>2195068.7121095387</x:v>
      </x:c>
      <x:c r="K50" s="22" t="n">
        <x:f>K48-K49</x:f>
        <x:v>2264142.4185659904</x:v>
      </x:c>
      <x:c r="L50" s="22" t="n">
        <x:f>L48-L49</x:f>
        <x:v>2334673.116148211</x:v>
      </x:c>
      <x:c r="M50" s="22" t="n">
        <x:f>M48-M49</x:f>
        <x:v>2406690.171229708</x:v>
      </x:c>
      <x:c r="N50" s="22" t="n">
        <x:f>N48-N49</x:f>
        <x:v>2480223.5381911146</x:v>
      </x:c>
    </x:row>
    <x:row r="51" ht="31" customHeight="1">
      <x:c r="A51" s="10" t="str">
        <x:v>Planning depreciation</x:v>
      </x:c>
      <x:c r="B51" s="4"/>
      <x:c r="C51" s="4" t="n">
        <x:f>$C$13/$C$33/$C$30</x:f>
        <x:v>41666.666666666664</x:v>
      </x:c>
      <x:c r="D51" s="4" t="n">
        <x:f>$C$13/$C$33/$C$30</x:f>
        <x:v>41666.666666666664</x:v>
      </x:c>
      <x:c r="E51" s="4" t="n">
        <x:f>$C$13/$C$33/$C$30</x:f>
        <x:v>41666.666666666664</x:v>
      </x:c>
      <x:c r="F51" s="4" t="n">
        <x:f>$C$13/$C$33/$C$30</x:f>
        <x:v>41666.666666666664</x:v>
      </x:c>
      <x:c r="G51" s="4" t="n">
        <x:f>$C$13/$C$33/$C$30</x:f>
        <x:v>41666.666666666664</x:v>
      </x:c>
      <x:c r="H51" s="4" t="n">
        <x:f>$C$13/$C$33/$C$30</x:f>
        <x:v>41666.666666666664</x:v>
      </x:c>
      <x:c r="I51" s="4" t="n">
        <x:f>$C$13/$C$33/$C$30</x:f>
        <x:v>41666.666666666664</x:v>
      </x:c>
      <x:c r="J51" s="4" t="n">
        <x:f>$C$13/$C$33/$C$30</x:f>
        <x:v>41666.666666666664</x:v>
      </x:c>
      <x:c r="K51" s="4" t="n">
        <x:f>$C$13/$C$33/$C$30</x:f>
        <x:v>41666.666666666664</x:v>
      </x:c>
      <x:c r="L51" s="4" t="n">
        <x:f>$C$13/$C$33/$C$30</x:f>
        <x:v>41666.666666666664</x:v>
      </x:c>
      <x:c r="M51" s="4" t="n">
        <x:f>$C$13/$C$33/$C$30</x:f>
        <x:v>41666.666666666664</x:v>
      </x:c>
      <x:c r="N51" s="4" t="n">
        <x:f>$C$13/$C$33/$C$30</x:f>
        <x:v>41666.666666666664</x:v>
      </x:c>
    </x:row>
    <x:row r="52" ht="31" customHeight="1">
      <x:c r="A52" s="10" t="str">
        <x:v>Operating profit (EBIT)</x:v>
      </x:c>
      <x:c r="B52" s="4"/>
      <x:c r="C52" s="4" t="n">
        <x:f>C50-C51</x:f>
        <x:v>1708333.3333333333</x:v>
      </x:c>
      <x:c r="D52" s="4" t="n">
        <x:f>D50-D51</x:f>
        <x:v>1767983.3333333316</x:v>
      </x:c>
      <x:c r="E52" s="4" t="n">
        <x:f>E50-E51</x:f>
        <x:v>1828900.2833333337</x:v>
      </x:c>
      <x:c r="F52" s="4" t="n">
        <x:f>F50-F51</x:f>
        <x:v>1891109.7441833334</x:v>
      </x:c>
      <x:c r="G52" s="4" t="n">
        <x:f>G50-G51</x:f>
        <x:v>1954637.7886158826</x:v>
      </x:c>
      <x:c r="H52" s="4" t="n">
        <x:f>H50-H51</x:f>
        <x:v>2019511.011485732</x:v>
      </x:c>
      <x:c r="I52" s="4" t="n">
        <x:f>I50-I51</x:f>
        <x:v>2085756.5402142706</x:v>
      </x:c>
      <x:c r="J52" s="4" t="n">
        <x:f>J50-J51</x:f>
        <x:v>2153402.045442872</x:v>
      </x:c>
      <x:c r="K52" s="4" t="n">
        <x:f>K50-K51</x:f>
        <x:v>2222475.751899324</x:v>
      </x:c>
      <x:c r="L52" s="4" t="n">
        <x:f>L50-L51</x:f>
        <x:v>2293006.4494815446</x:v>
      </x:c>
      <x:c r="M52" s="4" t="n">
        <x:f>M50-M51</x:f>
        <x:v>2365023.5045630415</x:v>
      </x:c>
      <x:c r="N52" s="4" t="n">
        <x:f>N50-N51</x:f>
        <x:v>2438556.871524448</x:v>
      </x:c>
    </x:row>
    <x:row r="53" ht="31" customHeight="1">
      <x:c r="A53" s="10" t="str">
        <x:v>Receivables</x:v>
      </x:c>
      <x:c r="B53" s="4"/>
      <x:c r="C53" s="4" t="n">
        <x:f>C45*$C$16/$C$29</x:f>
        <x:v>22560000</x:v>
      </x:c>
      <x:c r="D53" s="4" t="n">
        <x:f>D45*$C$16/$C$29</x:f>
        <x:v>23011199.999999996</x:v>
      </x:c>
      <x:c r="E53" s="4" t="n">
        <x:f>E45*$C$16/$C$29</x:f>
        <x:v>23471424</x:v>
      </x:c>
      <x:c r="F53" s="4" t="n">
        <x:f>F45*$C$16/$C$29</x:f>
        <x:v>23940852.48</x:v>
      </x:c>
      <x:c r="G53" s="4" t="n">
        <x:f>G45*$C$16/$C$29</x:f>
        <x:v>24419669.5296</x:v>
      </x:c>
      <x:c r="H53" s="4" t="n">
        <x:f>H45*$C$16/$C$29</x:f>
        <x:v>24908062.920192003</x:v>
      </x:c>
      <x:c r="I53" s="4" t="n">
        <x:f>I45*$C$16/$C$29</x:f>
        <x:v>25406224.178595845</x:v>
      </x:c>
      <x:c r="J53" s="4" t="n">
        <x:f>J45*$C$16/$C$29</x:f>
        <x:v>25914348.66216775</x:v>
      </x:c>
      <x:c r="K53" s="4" t="n">
        <x:f>K45*$C$16/$C$29</x:f>
        <x:v>26432635.63541111</x:v>
      </x:c>
      <x:c r="L53" s="4" t="n">
        <x:f>L45*$C$16/$C$29</x:f>
        <x:v>26961288.34811933</x:v>
      </x:c>
      <x:c r="M53" s="4" t="n">
        <x:f>M45*$C$16/$C$29</x:f>
        <x:v>27500514.11508172</x:v>
      </x:c>
      <x:c r="N53" s="4" t="n">
        <x:f>N45*$C$16/$C$29</x:f>
        <x:v>28050524.39738335</x:v>
      </x:c>
    </x:row>
    <x:row r="54" ht="31" customHeight="1">
      <x:c r="A54" s="10" t="str">
        <x:v>Own inventory</x:v>
      </x:c>
      <x:c r="B54" s="4"/>
      <x:c r="C54" s="4" t="n">
        <x:f>C47*$C$31*$C$17/$C$29</x:f>
        <x:v>5920000</x:v>
      </x:c>
      <x:c r="D54" s="4" t="n">
        <x:f>D47*$C$31*$C$17/$C$29</x:f>
        <x:v>6038400</x:v>
      </x:c>
      <x:c r="E54" s="4" t="n">
        <x:f>E47*$C$31*$C$17/$C$29</x:f>
        <x:v>6159168</x:v>
      </x:c>
      <x:c r="F54" s="4" t="n">
        <x:f>F47*$C$31*$C$17/$C$29</x:f>
        <x:v>6282351.359999999</x:v>
      </x:c>
      <x:c r="G54" s="4" t="n">
        <x:f>G47*$C$31*$C$17/$C$29</x:f>
        <x:v>6407998.3872</x:v>
      </x:c>
      <x:c r="H54" s="4" t="n">
        <x:f>H47*$C$31*$C$17/$C$29</x:f>
        <x:v>6536158.354944001</x:v>
      </x:c>
      <x:c r="I54" s="4" t="n">
        <x:f>I47*$C$31*$C$17/$C$29</x:f>
        <x:v>6666881.522042881</x:v>
      </x:c>
      <x:c r="J54" s="4" t="n">
        <x:f>J47*$C$31*$C$17/$C$29</x:f>
        <x:v>6800219.152483736</x:v>
      </x:c>
      <x:c r="K54" s="4" t="n">
        <x:f>K47*$C$31*$C$17/$C$29</x:f>
        <x:v>6936223.5355334105</x:v>
      </x:c>
      <x:c r="L54" s="4" t="n">
        <x:f>L47*$C$31*$C$17/$C$29</x:f>
        <x:v>7074948.00624408</x:v>
      </x:c>
      <x:c r="M54" s="4" t="n">
        <x:f>M47*$C$31*$C$17/$C$29</x:f>
        <x:v>7216446.966368962</x:v>
      </x:c>
      <x:c r="N54" s="4" t="n">
        <x:f>N47*$C$31*$C$17/$C$29</x:f>
        <x:v>7360775.905696341</x:v>
      </x:c>
    </x:row>
    <x:row r="55" ht="31" customHeight="1">
      <x:c r="A55" s="10" t="str">
        <x:v>Supplier payables</x:v>
      </x:c>
      <x:c r="B55" s="4"/>
      <x:c r="C55" s="4" t="n">
        <x:f>C47*$C$32*$C$18/$C$29</x:f>
        <x:v>5525333.333333332</x:v>
      </x:c>
      <x:c r="D55" s="4" t="n">
        <x:f>D47*$C$32*$C$18/$C$29</x:f>
        <x:v>5635840</x:v>
      </x:c>
      <x:c r="E55" s="4" t="n">
        <x:f>E47*$C$32*$C$18/$C$29</x:f>
        <x:v>5748556.8</x:v>
      </x:c>
      <x:c r="F55" s="4" t="n">
        <x:f>F47*$C$32*$C$18/$C$29</x:f>
        <x:v>5863527.936</x:v>
      </x:c>
      <x:c r="G55" s="4" t="n">
        <x:f>G47*$C$32*$C$18/$C$29</x:f>
        <x:v>5980798.49472</x:v>
      </x:c>
      <x:c r="H55" s="4" t="n">
        <x:f>H47*$C$32*$C$18/$C$29</x:f>
        <x:v>6100414.464614401</x:v>
      </x:c>
      <x:c r="I55" s="4" t="n">
        <x:f>I47*$C$32*$C$18/$C$29</x:f>
        <x:v>6222422.753906688</x:v>
      </x:c>
      <x:c r="J55" s="4" t="n">
        <x:f>J47*$C$32*$C$18/$C$29</x:f>
        <x:v>6346871.208984821</x:v>
      </x:c>
      <x:c r="K55" s="4" t="n">
        <x:f>K47*$C$32*$C$18/$C$29</x:f>
        <x:v>6473808.633164516</x:v>
      </x:c>
      <x:c r="L55" s="4" t="n">
        <x:f>L47*$C$32*$C$18/$C$29</x:f>
        <x:v>6603284.805827808</x:v>
      </x:c>
      <x:c r="M55" s="4" t="n">
        <x:f>M47*$C$32*$C$18/$C$29</x:f>
        <x:v>6735350.501944365</x:v>
      </x:c>
      <x:c r="N55" s="4" t="n">
        <x:f>N47*$C$32*$C$18/$C$29</x:f>
        <x:v>6870057.51198325</x:v>
      </x:c>
    </x:row>
    <x:row r="56" ht="31" customHeight="1">
      <x:c r="A56" s="23" t="str">
        <x:v>Net working capital</x:v>
      </x:c>
      <x:c r="B56" s="22"/>
      <x:c r="C56" s="22" t="n">
        <x:f>C53+C54-C55</x:f>
        <x:v>22954666.666666668</x:v>
      </x:c>
      <x:c r="D56" s="22" t="n">
        <x:f>D53+D54-D55</x:f>
        <x:v>23413759.999999996</x:v>
      </x:c>
      <x:c r="E56" s="22" t="n">
        <x:f>E53+E54-E55</x:f>
        <x:v>23882035.2</x:v>
      </x:c>
      <x:c r="F56" s="22" t="n">
        <x:f>F53+F54-F55</x:f>
        <x:v>24359675.904</x:v>
      </x:c>
      <x:c r="G56" s="22" t="n">
        <x:f>G53+G54-G55</x:f>
        <x:v>24846869.42208</x:v>
      </x:c>
      <x:c r="H56" s="22" t="n">
        <x:f>H53+H54-H55</x:f>
        <x:v>25343806.810521603</x:v>
      </x:c>
      <x:c r="I56" s="22" t="n">
        <x:f>I53+I54-I55</x:f>
        <x:v>25850682.946732037</x:v>
      </x:c>
      <x:c r="J56" s="22" t="n">
        <x:f>J53+J54-J55</x:f>
        <x:v>26367696.605666663</x:v>
      </x:c>
      <x:c r="K56" s="22" t="n">
        <x:f>K53+K54-K55</x:f>
        <x:v>26895050.53778</x:v>
      </x:c>
      <x:c r="L56" s="22" t="n">
        <x:f>L53+L54-L55</x:f>
        <x:v>27432951.548535604</x:v>
      </x:c>
      <x:c r="M56" s="22" t="n">
        <x:f>M53+M54-M55</x:f>
        <x:v>27981610.579506323</x:v>
      </x:c>
      <x:c r="N56" s="22" t="n">
        <x:f>N53+N54-N55</x:f>
        <x:v>28541242.791096445</x:v>
      </x:c>
    </x:row>
    <x:row r="57" ht="31" customHeight="1">
      <x:c r="A57" s="10" t="str">
        <x:v>Increase in working capital</x:v>
      </x:c>
      <x:c r="B57" s="4"/>
      <x:c r="C57" s="4" t="n">
        <x:f>C56</x:f>
        <x:v>22954666.666666668</x:v>
      </x:c>
      <x:c r="D57" s="4" t="n">
        <x:f>D56-C56</x:f>
        <x:v>459093.33333332837</x:v>
      </x:c>
      <x:c r="E57" s="4" t="n">
        <x:f>E56-D56</x:f>
        <x:v>468275.200000003</x:v>
      </x:c>
      <x:c r="F57" s="4" t="n">
        <x:f>F56-E56</x:f>
        <x:v>477640.7039999999</x:v>
      </x:c>
      <x:c r="G57" s="4" t="n">
        <x:f>G56-F56</x:f>
        <x:v>487193.51807999983</x:v>
      </x:c>
      <x:c r="H57" s="4" t="n">
        <x:f>H56-G56</x:f>
        <x:v>496937.38844160363</x:v>
      </x:c>
      <x:c r="I57" s="4" t="n">
        <x:f>I56-H56</x:f>
        <x:v>506876.13621043414</x:v>
      </x:c>
      <x:c r="J57" s="4" t="n">
        <x:f>J56-I56</x:f>
        <x:v>517013.6589346267</x:v>
      </x:c>
      <x:c r="K57" s="4" t="n">
        <x:f>K56-J56</x:f>
        <x:v>527353.9321133383</x:v>
      </x:c>
      <x:c r="L57" s="4" t="n">
        <x:f>L56-K56</x:f>
        <x:v>537901.0107556023</x:v>
      </x:c>
      <x:c r="M57" s="4" t="n">
        <x:f>M56-L56</x:f>
        <x:v>548659.0309707187</x:v>
      </x:c>
      <x:c r="N57" s="4" t="n">
        <x:f>N56-M56</x:f>
        <x:v>559632.2115901224</x:v>
      </x:c>
    </x:row>
    <x:row r="58" ht="31" customHeight="1">
      <x:c r="A58" s="10" t="str">
        <x:v>Opening debt</x:v>
      </x:c>
      <x:c r="B58" s="4"/>
      <x:c r="C58" s="4" t="n">
        <x:f>$C$19</x:f>
        <x:v>1500000</x:v>
      </x:c>
      <x:c r="D58" s="4" t="n">
        <x:f>C61</x:f>
        <x:v>1475000</x:v>
      </x:c>
      <x:c r="E58" s="4" t="n">
        <x:f>D61</x:f>
        <x:v>1450000</x:v>
      </x:c>
      <x:c r="F58" s="4" t="n">
        <x:f>E61</x:f>
        <x:v>1425000</x:v>
      </x:c>
      <x:c r="G58" s="4" t="n">
        <x:f>F61</x:f>
        <x:v>1400000</x:v>
      </x:c>
      <x:c r="H58" s="4" t="n">
        <x:f>G61</x:f>
        <x:v>1375000</x:v>
      </x:c>
      <x:c r="I58" s="4" t="n">
        <x:f>H61</x:f>
        <x:v>1350000</x:v>
      </x:c>
      <x:c r="J58" s="4" t="n">
        <x:f>I61</x:f>
        <x:v>1325000</x:v>
      </x:c>
      <x:c r="K58" s="4" t="n">
        <x:f>J61</x:f>
        <x:v>1300000</x:v>
      </x:c>
      <x:c r="L58" s="4" t="n">
        <x:f>K61</x:f>
        <x:v>1275000</x:v>
      </x:c>
      <x:c r="M58" s="4" t="n">
        <x:f>L61</x:f>
        <x:v>1250000</x:v>
      </x:c>
      <x:c r="N58" s="4" t="n">
        <x:f>M61</x:f>
        <x:v>1225000</x:v>
      </x:c>
    </x:row>
    <x:row r="59" ht="31" customHeight="1">
      <x:c r="A59" s="10" t="str">
        <x:v>Interest cash</x:v>
      </x:c>
      <x:c r="B59" s="4"/>
      <x:c r="C59" s="4" t="n">
        <x:f>C58*$C$20/$C$30</x:f>
        <x:v>15000</x:v>
      </x:c>
      <x:c r="D59" s="4" t="n">
        <x:f>D58*$C$20/$C$30</x:f>
        <x:v>14750</x:v>
      </x:c>
      <x:c r="E59" s="4" t="n">
        <x:f>E58*$C$20/$C$30</x:f>
        <x:v>14500</x:v>
      </x:c>
      <x:c r="F59" s="4" t="n">
        <x:f>F58*$C$20/$C$30</x:f>
        <x:v>14250</x:v>
      </x:c>
      <x:c r="G59" s="4" t="n">
        <x:f>G58*$C$20/$C$30</x:f>
        <x:v>14000</x:v>
      </x:c>
      <x:c r="H59" s="4" t="n">
        <x:f>H58*$C$20/$C$30</x:f>
        <x:v>13750</x:v>
      </x:c>
      <x:c r="I59" s="4" t="n">
        <x:f>I58*$C$20/$C$30</x:f>
        <x:v>13500</x:v>
      </x:c>
      <x:c r="J59" s="4" t="n">
        <x:f>J58*$C$20/$C$30</x:f>
        <x:v>13250</x:v>
      </x:c>
      <x:c r="K59" s="4" t="n">
        <x:f>K58*$C$20/$C$30</x:f>
        <x:v>13000</x:v>
      </x:c>
      <x:c r="L59" s="4" t="n">
        <x:f>L58*$C$20/$C$30</x:f>
        <x:v>12750</x:v>
      </x:c>
      <x:c r="M59" s="4" t="n">
        <x:f>M58*$C$20/$C$30</x:f>
        <x:v>12500</x:v>
      </x:c>
      <x:c r="N59" s="4" t="n">
        <x:f>N58*$C$20/$C$30</x:f>
        <x:v>12250</x:v>
      </x:c>
    </x:row>
    <x:row r="60" ht="31" customHeight="1">
      <x:c r="A60" s="10" t="str">
        <x:v>Principal repayment</x:v>
      </x:c>
      <x:c r="B60" s="4"/>
      <x:c r="C60" s="4" t="n">
        <x:f>MIN(C58,$C$19/$C$21)</x:f>
        <x:v>25000</x:v>
      </x:c>
      <x:c r="D60" s="4" t="n">
        <x:f>MIN(D58,$C$19/$C$21)</x:f>
        <x:v>25000</x:v>
      </x:c>
      <x:c r="E60" s="4" t="n">
        <x:f>MIN(E58,$C$19/$C$21)</x:f>
        <x:v>25000</x:v>
      </x:c>
      <x:c r="F60" s="4" t="n">
        <x:f>MIN(F58,$C$19/$C$21)</x:f>
        <x:v>25000</x:v>
      </x:c>
      <x:c r="G60" s="4" t="n">
        <x:f>MIN(G58,$C$19/$C$21)</x:f>
        <x:v>25000</x:v>
      </x:c>
      <x:c r="H60" s="4" t="n">
        <x:f>MIN(H58,$C$19/$C$21)</x:f>
        <x:v>25000</x:v>
      </x:c>
      <x:c r="I60" s="4" t="n">
        <x:f>MIN(I58,$C$19/$C$21)</x:f>
        <x:v>25000</x:v>
      </x:c>
      <x:c r="J60" s="4" t="n">
        <x:f>MIN(J58,$C$19/$C$21)</x:f>
        <x:v>25000</x:v>
      </x:c>
      <x:c r="K60" s="4" t="n">
        <x:f>MIN(K58,$C$19/$C$21)</x:f>
        <x:v>25000</x:v>
      </x:c>
      <x:c r="L60" s="4" t="n">
        <x:f>MIN(L58,$C$19/$C$21)</x:f>
        <x:v>25000</x:v>
      </x:c>
      <x:c r="M60" s="4" t="n">
        <x:f>MIN(M58,$C$19/$C$21)</x:f>
        <x:v>25000</x:v>
      </x:c>
      <x:c r="N60" s="4" t="n">
        <x:f>MIN(N58,$C$19/$C$21)</x:f>
        <x:v>25000</x:v>
      </x:c>
    </x:row>
    <x:row r="61" ht="31" customHeight="1">
      <x:c r="A61" s="10" t="str">
        <x:v>Closing debt</x:v>
      </x:c>
      <x:c r="B61" s="4"/>
      <x:c r="C61" s="4" t="n">
        <x:f>C58-C60</x:f>
        <x:v>1475000</x:v>
      </x:c>
      <x:c r="D61" s="4" t="n">
        <x:f>D58-D60</x:f>
        <x:v>1450000</x:v>
      </x:c>
      <x:c r="E61" s="4" t="n">
        <x:f>E58-E60</x:f>
        <x:v>1425000</x:v>
      </x:c>
      <x:c r="F61" s="4" t="n">
        <x:f>F58-F60</x:f>
        <x:v>1400000</x:v>
      </x:c>
      <x:c r="G61" s="4" t="n">
        <x:f>G58-G60</x:f>
        <x:v>1375000</x:v>
      </x:c>
      <x:c r="H61" s="4" t="n">
        <x:f>H58-H60</x:f>
        <x:v>1350000</x:v>
      </x:c>
      <x:c r="I61" s="4" t="n">
        <x:f>I58-I60</x:f>
        <x:v>1325000</x:v>
      </x:c>
      <x:c r="J61" s="4" t="n">
        <x:f>J58-J60</x:f>
        <x:v>1300000</x:v>
      </x:c>
      <x:c r="K61" s="4" t="n">
        <x:f>K58-K60</x:f>
        <x:v>1275000</x:v>
      </x:c>
      <x:c r="L61" s="4" t="n">
        <x:f>L58-L60</x:f>
        <x:v>1250000</x:v>
      </x:c>
      <x:c r="M61" s="4" t="n">
        <x:f>M58-M60</x:f>
        <x:v>1225000</x:v>
      </x:c>
      <x:c r="N61" s="4" t="n">
        <x:f>N58-N60</x:f>
        <x:v>1200000</x:v>
      </x:c>
    </x:row>
    <x:row r="62" ht="31" customHeight="1">
      <x:c r="A62" s="10" t="str">
        <x:v>Maintenance capital spend</x:v>
      </x:c>
      <x:c r="B62" s="4"/>
      <x:c r="C62" s="4" t="n">
        <x:f>$C$22</x:f>
        <x:v>5000</x:v>
      </x:c>
      <x:c r="D62" s="4" t="n">
        <x:f>$C$22</x:f>
        <x:v>5000</x:v>
      </x:c>
      <x:c r="E62" s="4" t="n">
        <x:f>$C$22</x:f>
        <x:v>5000</x:v>
      </x:c>
      <x:c r="F62" s="4" t="n">
        <x:f>$C$22</x:f>
        <x:v>5000</x:v>
      </x:c>
      <x:c r="G62" s="4" t="n">
        <x:f>$C$22</x:f>
        <x:v>5000</x:v>
      </x:c>
      <x:c r="H62" s="4" t="n">
        <x:f>$C$22</x:f>
        <x:v>5000</x:v>
      </x:c>
      <x:c r="I62" s="4" t="n">
        <x:f>$C$22</x:f>
        <x:v>5000</x:v>
      </x:c>
      <x:c r="J62" s="4" t="n">
        <x:f>$C$22</x:f>
        <x:v>5000</x:v>
      </x:c>
      <x:c r="K62" s="4" t="n">
        <x:f>$C$22</x:f>
        <x:v>5000</x:v>
      </x:c>
      <x:c r="L62" s="4" t="n">
        <x:f>$C$22</x:f>
        <x:v>5000</x:v>
      </x:c>
      <x:c r="M62" s="4" t="n">
        <x:f>$C$22</x:f>
        <x:v>5000</x:v>
      </x:c>
      <x:c r="N62" s="4" t="n">
        <x:f>$C$22</x:f>
        <x:v>5000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-21249666.666666668</x:v>
      </x:c>
      <x:c r="D66" s="22" t="n">
        <x:f>D50-D57-SUM(D59:D60)-SUM(D62:D65)</x:f>
        <x:v>1305806.66666667</x:v>
      </x:c>
      <x:c r="E66" s="22" t="n">
        <x:f>E50-E57-SUM(E59:E60)-SUM(E62:E65)</x:f>
        <x:v>1357791.7499999974</x:v>
      </x:c>
      <x:c r="F66" s="22" t="n">
        <x:f>F50-F57-SUM(F59:F60)-SUM(F62:F65)</x:f>
        <x:v>1410885.7068500002</x:v>
      </x:c>
      <x:c r="G66" s="22" t="n">
        <x:f>G50-G57-SUM(G59:G60)-SUM(G62:G65)</x:f>
        <x:v>1465110.9372025495</x:v>
      </x:c>
      <x:c r="H66" s="22" t="n">
        <x:f>H50-H57-SUM(H59:H60)-SUM(H62:H65)</x:f>
        <x:v>1520490.289710795</x:v>
      </x:c>
      <x:c r="I66" s="22" t="n">
        <x:f>I50-I57-SUM(I59:I60)-SUM(I62:I65)</x:f>
        <x:v>1577047.0706705032</x:v>
      </x:c>
      <x:c r="J66" s="22" t="n">
        <x:f>J50-J57-SUM(J59:J60)-SUM(J62:J65)</x:f>
        <x:v>1634805.053174912</x:v>
      </x:c>
      <x:c r="K66" s="22" t="n">
        <x:f>K50-K57-SUM(K59:K60)-SUM(K62:K65)</x:f>
        <x:v>1693788.4864526521</x:v>
      </x:c>
      <x:c r="L66" s="22" t="n">
        <x:f>L50-L57-SUM(L59:L60)-SUM(L62:L65)</x:f>
        <x:v>1754022.1053926088</x:v>
      </x:c>
      <x:c r="M66" s="22" t="n">
        <x:f>M50-M57-SUM(M59:M60)-SUM(M62:M65)</x:f>
        <x:v>1815531.1402589893</x:v>
      </x:c>
      <x:c r="N66" s="22" t="n">
        <x:f>N50-N57-SUM(N59:N60)-SUM(N62:N65)</x:f>
        <x:v>1878341.3266009921</x:v>
      </x:c>
    </x:row>
    <x:row r="67" ht="31" customHeight="1">
      <x:c r="A67" s="10" t="str">
        <x:v>Opening cash</x:v>
      </x:c>
      <x:c r="B67" s="4"/>
      <x:c r="C67" s="4" t="n">
        <x:f>$C$15</x:f>
        <x:v>3500000</x:v>
      </x:c>
      <x:c r="D67" s="4" t="n">
        <x:f>C68</x:f>
        <x:v>-17749666.666666668</x:v>
      </x:c>
      <x:c r="E67" s="4" t="n">
        <x:f>D68</x:f>
        <x:v>-16443859.999999998</x:v>
      </x:c>
      <x:c r="F67" s="4" t="n">
        <x:f>E68</x:f>
        <x:v>-15086068.25</x:v>
      </x:c>
      <x:c r="G67" s="4" t="n">
        <x:f>F68</x:f>
        <x:v>-13675182.54315</x:v>
      </x:c>
      <x:c r="H67" s="4" t="n">
        <x:f>G68</x:f>
        <x:v>-12210071.60594745</x:v>
      </x:c>
      <x:c r="I67" s="4" t="n">
        <x:f>H68</x:f>
        <x:v>-10689581.316236654</x:v>
      </x:c>
      <x:c r="J67" s="4" t="n">
        <x:f>I68</x:f>
        <x:v>-9112534.245566152</x:v>
      </x:c>
      <x:c r="K67" s="4" t="n">
        <x:f>J68</x:f>
        <x:v>-7477729.19239124</x:v>
      </x:c>
      <x:c r="L67" s="4" t="n">
        <x:f>K68</x:f>
        <x:v>-5783940.705938588</x:v>
      </x:c>
      <x:c r="M67" s="4" t="n">
        <x:f>L68</x:f>
        <x:v>-4029918.600545979</x:v>
      </x:c>
      <x:c r="N67" s="4" t="n">
        <x:f>M68</x:f>
        <x:v>-2214387.46028699</x:v>
      </x:c>
    </x:row>
    <x:row r="68" ht="31" customHeight="1">
      <x:c r="A68" s="23" t="str">
        <x:v>Closing cash</x:v>
      </x:c>
      <x:c r="B68" s="22"/>
      <x:c r="C68" s="22" t="n">
        <x:f>C67+C66</x:f>
        <x:v>-17749666.666666668</x:v>
      </x:c>
      <x:c r="D68" s="22" t="n">
        <x:f>D67+D66</x:f>
        <x:v>-16443859.999999998</x:v>
      </x:c>
      <x:c r="E68" s="22" t="n">
        <x:f>E67+E66</x:f>
        <x:v>-15086068.25</x:v>
      </x:c>
      <x:c r="F68" s="22" t="n">
        <x:f>F67+F66</x:f>
        <x:v>-13675182.54315</x:v>
      </x:c>
      <x:c r="G68" s="22" t="n">
        <x:f>G67+G66</x:f>
        <x:v>-12210071.60594745</x:v>
      </x:c>
      <x:c r="H68" s="22" t="n">
        <x:f>H67+H66</x:f>
        <x:v>-10689581.316236654</x:v>
      </x:c>
      <x:c r="I68" s="22" t="n">
        <x:f>I67+I66</x:f>
        <x:v>-9112534.245566152</x:v>
      </x:c>
      <x:c r="J68" s="22" t="n">
        <x:f>J67+J66</x:f>
        <x:v>-7477729.19239124</x:v>
      </x:c>
      <x:c r="K68" s="22" t="n">
        <x:f>K67+K66</x:f>
        <x:v>-5783940.705938588</x:v>
      </x:c>
      <x:c r="L68" s="22" t="n">
        <x:f>L67+L66</x:f>
        <x:v>-4029918.600545979</x:v>
      </x:c>
      <x:c r="M68" s="22" t="n">
        <x:f>M67+M66</x:f>
        <x:v>-2214387.46028699</x:v>
      </x:c>
      <x:c r="N68" s="22" t="n">
        <x:f>N67+N66</x:f>
        <x:v>-336046.1336859977</x:v>
      </x:c>
    </x:row>
    <x:row r="69" ht="31" customHeight="1">
      <x:c r="A69" s="10" t="str">
        <x:v>Cash-buffer shortfall</x:v>
      </x:c>
      <x:c r="B69" s="4"/>
      <x:c r="C69" s="4" t="n">
        <x:f>MAX(0,$C$15-C68)</x:f>
        <x:v>21249666.666666668</x:v>
      </x:c>
      <x:c r="D69" s="4" t="n">
        <x:f>MAX(0,$C$15-D68)</x:f>
        <x:v>19943860</x:v>
      </x:c>
      <x:c r="E69" s="4" t="n">
        <x:f>MAX(0,$C$15-E68)</x:f>
        <x:v>18586068.25</x:v>
      </x:c>
      <x:c r="F69" s="4" t="n">
        <x:f>MAX(0,$C$15-F68)</x:f>
        <x:v>17175182.54315</x:v>
      </x:c>
      <x:c r="G69" s="4" t="n">
        <x:f>MAX(0,$C$15-G68)</x:f>
        <x:v>15710071.60594745</x:v>
      </x:c>
      <x:c r="H69" s="4" t="n">
        <x:f>MAX(0,$C$15-H68)</x:f>
        <x:v>14189581.316236654</x:v>
      </x:c>
      <x:c r="I69" s="4" t="n">
        <x:f>MAX(0,$C$15-I68)</x:f>
        <x:v>12612534.245566152</x:v>
      </x:c>
      <x:c r="J69" s="4" t="n">
        <x:f>MAX(0,$C$15-J68)</x:f>
        <x:v>10977729.19239124</x:v>
      </x:c>
      <x:c r="K69" s="4" t="n">
        <x:f>MAX(0,$C$15-K68)</x:f>
        <x:v>9283940.705938589</x:v>
      </x:c>
      <x:c r="L69" s="4" t="n">
        <x:f>MAX(0,$C$15-L68)</x:f>
        <x:v>7529918.600545979</x:v>
      </x:c>
      <x:c r="M69" s="4" t="n">
        <x:f>MAX(0,$C$15-M68)</x:f>
        <x:v>5714387.46028699</x:v>
      </x:c>
      <x:c r="N69" s="4" t="n">
        <x:f>MAX(0,$C$15-N68)</x:f>
        <x:v>3836046.1336859977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43.75</x:v>
      </x:c>
      <x:c r="D70" s="30" t="n">
        <x:f>IF(SUM(D59:D60)&gt;0,D50/SUM(D59:D60),"No debt")</x:f>
        <x:v>45.52578616352197</x:v>
      </x:c>
      <x:c r="E70" s="30" t="n">
        <x:f>IF(SUM(E59:E60)&gt;0,E50/SUM(E59:E60),"No debt")</x:f>
        <x:v>47.35612531645571</x:v>
      </x:c>
      <x:c r="F70" s="30" t="n">
        <x:f>IF(SUM(F59:F60)&gt;0,F50/SUM(F59:F60),"No debt")</x:f>
        <x:v>49.2427111044586</x:v>
      </x:c>
      <x:c r="G70" s="30" t="n">
        <x:f>IF(SUM(G59:G60)&gt;0,G50/SUM(G59:G60),"No debt")</x:f>
        <x:v>51.18729372519358</x:v>
      </x:c>
      <x:c r="H70" s="30" t="n">
        <x:f>IF(SUM(H59:H60)&gt;0,H50/SUM(H59:H60),"No debt")</x:f>
        <x:v>53.1916820168361</x:v>
      </x:c>
      <x:c r="I70" s="30" t="n">
        <x:f>IF(SUM(I59:I60)&gt;0,I50/SUM(I59:I60),"No debt")</x:f>
        <x:v>55.2577456332711</x:v>
      </x:c>
      <x:c r="J70" s="30" t="n">
        <x:f>IF(SUM(J59:J60)&gt;0,J50/SUM(J59:J60),"No debt")</x:f>
        <x:v>57.3874173100533</x:v>
      </x:c>
      <x:c r="K70" s="30" t="n">
        <x:f>IF(SUM(K59:K60)&gt;0,K50/SUM(K59:K60),"No debt")</x:f>
        <x:v>59.5826952254208</x:v>
      </x:c>
      <x:c r="L70" s="30" t="n">
        <x:f>IF(SUM(L59:L60)&gt;0,L50/SUM(L59:L60),"No debt")</x:f>
        <x:v>61.845645460879766</x:v>
      </x:c>
      <x:c r="M70" s="30" t="n">
        <x:f>IF(SUM(M59:M60)&gt;0,M50/SUM(M59:M60),"No debt")</x:f>
        <x:v>64.17840456612555</x:v>
      </x:c>
      <x:c r="N70" s="30" t="n">
        <x:f>IF(SUM(N59:N60)&gt;0,N50/SUM(N59:N60),"No debt")</x:f>
        <x:v>66.58318223331851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0.64</x:v>
      </x:c>
      <x:c r="D71" s="20" t="n">
        <x:f>IF($C$10&gt;0,D43/$C$10,0)</x:f>
        <x:v>0.6527999999999999</x:v>
      </x:c>
      <x:c r="E71" s="20" t="n">
        <x:f>IF($C$10&gt;0,E43/$C$10,0)</x:f>
        <x:v>0.665856</x:v>
      </x:c>
      <x:c r="F71" s="20" t="n">
        <x:f>IF($C$10&gt;0,F43/$C$10,0)</x:f>
        <x:v>0.67917312</x:v>
      </x:c>
      <x:c r="G71" s="20" t="n">
        <x:f>IF($C$10&gt;0,G43/$C$10,0)</x:f>
        <x:v>0.6927565823999999</x:v>
      </x:c>
      <x:c r="H71" s="20" t="n">
        <x:f>IF($C$10&gt;0,H43/$C$10,0)</x:f>
        <x:v>0.706611714048</x:v>
      </x:c>
      <x:c r="I71" s="20" t="n">
        <x:f>IF($C$10&gt;0,I43/$C$10,0)</x:f>
        <x:v>0.72074394832896</x:v>
      </x:c>
      <x:c r="J71" s="20" t="n">
        <x:f>IF($C$10&gt;0,J43/$C$10,0)</x:f>
        <x:v>0.7351588272955392</x:v>
      </x:c>
      <x:c r="K71" s="20" t="n">
        <x:f>IF($C$10&gt;0,K43/$C$10,0)</x:f>
        <x:v>0.7498620038414499</x:v>
      </x:c>
      <x:c r="L71" s="20" t="n">
        <x:f>IF($C$10&gt;0,L43/$C$10,0)</x:f>
        <x:v>0.764859243918279</x:v>
      </x:c>
      <x:c r="M71" s="20" t="n">
        <x:f>IF($C$10&gt;0,M43/$C$10,0)</x:f>
        <x:v>0.7801564287966446</x:v>
      </x:c>
      <x:c r="N71" s="20" t="n">
        <x:f>IF($C$10&gt;0,N43/$C$10,0)</x:f>
        <x:v>0.7957595573725773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4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4b7330a6f7634d7c"/>
</x:worksheet>
</file>

<file path=xl/worksheets/sheet1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36" hidden="0" customWidth="1"/>
    <x:col min="8" max="8" width="14" hidden="0" customWidth="1"/>
    <x:col min="9" max="9" width="14" hidden="0" customWidth="1"/>
    <x:col min="10" max="10" width="14" hidden="0" customWidth="1"/>
    <x:col min="11" max="11" width="23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38" customHeight="1">
      <x:c r="A1" s="7" t="str">
        <x:v>Warehouse, Cold Storage &amp; 3PL Fulfilment | 12-month financial plan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23" customHeight="1">
      <x:c r="A2" s="10" t="str">
        <x:v>INR. Illustrative assumptions only. Excludes GST from revenue. Enter tax cash independently: zero defaults do not mean no tax. Technology/agency fee models exclude client money. Not statutory accounts or a loan quote.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3" customHeight="1">
      <x:c r="A5" s="4" t="str">
        <x:v>INPUT</x:v>
      </x:c>
      <x:c r="B5" s="4" t="str"/>
      <x:c r="C5" s="4" t="str">
        <x:v>VALUE</x:v>
      </x:c>
      <x:c r="D5" s="4" t="str">
        <x:v>ASSUMPTION / BOUNDARY</x:v>
      </x:c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30" customHeight="1">
      <x:c r="A6" s="10" t="str">
        <x:v>Monthly retained/billable volume</x:v>
      </x:c>
      <x:c r="B6" s="10"/>
      <x:c r="C6" s="16" t="n">
        <x:v>1250</x:v>
      </x:c>
      <x:c r="D6" s="10" t="str">
        <x:v>occupied pallet-months</x:v>
      </x:c>
      <x:c r="E6" s="4"/>
      <x:c r="F6" s="4"/>
      <x:c r="G6" s="10" t="str">
        <x:v>Base net revenue</x:v>
      </x:c>
      <x:c r="H6" s="4"/>
      <x:c r="I6" s="4"/>
      <x:c r="J6" s="4"/>
      <x:c r="K6" s="4" t="n">
        <x:f>C6*C7</x:f>
        <x:v>1900000</x:v>
      </x:c>
      <x:c r="L6" s="4"/>
      <x:c r="M6" s="4"/>
      <x:c r="N6" s="4"/>
    </x:row>
    <x:row r="7" ht="30" customHeight="1">
      <x:c r="A7" s="10" t="str">
        <x:v>Net realised unit price</x:v>
      </x:c>
      <x:c r="B7" s="10"/>
      <x:c r="C7" s="16" t="n">
        <x:v>1520</x:v>
      </x:c>
      <x:c r="D7" s="10" t="str">
        <x:v>INR; exclude GST and refunds</x:v>
      </x:c>
      <x:c r="E7" s="4"/>
      <x:c r="F7" s="4"/>
      <x:c r="G7" s="10" t="str">
        <x:v>Base variable cash cost</x:v>
      </x:c>
      <x:c r="H7" s="4"/>
      <x:c r="I7" s="4"/>
      <x:c r="J7" s="4"/>
      <x:c r="K7" s="4" t="n">
        <x:f>C6*C8</x:f>
        <x:v>550000</x:v>
      </x:c>
      <x:c r="L7" s="4"/>
      <x:c r="M7" s="4"/>
      <x:c r="N7" s="4"/>
    </x:row>
    <x:row r="8" ht="30" customHeight="1">
      <x:c r="A8" s="10" t="str">
        <x:v>Variable cost per unit</x:v>
      </x:c>
      <x:c r="B8" s="10"/>
      <x:c r="C8" s="16" t="n">
        <x:v>440</x:v>
      </x:c>
      <x:c r="D8" s="10" t="str">
        <x:v>Include direct channel cost / non-creditable tax</x:v>
      </x:c>
      <x:c r="E8" s="4"/>
      <x:c r="F8" s="4"/>
      <x:c r="G8" s="10" t="str">
        <x:v>Unit contribution</x:v>
      </x:c>
      <x:c r="H8" s="4"/>
      <x:c r="I8" s="4"/>
      <x:c r="J8" s="4"/>
      <x:c r="K8" s="4" t="n">
        <x:f>C7-C8</x:f>
        <x:v>1080</x:v>
      </x:c>
      <x:c r="L8" s="4"/>
      <x:c r="M8" s="4"/>
      <x:c r="N8" s="4"/>
    </x:row>
    <x:row r="9" ht="30" customHeight="1">
      <x:c r="A9" s="10" t="str">
        <x:v>Monthly fixed cash cost</x:v>
      </x:c>
      <x:c r="B9" s="10"/>
      <x:c r="C9" s="16" t="n">
        <x:v>890000</x:v>
      </x:c>
      <x:c r="D9" s="10" t="str">
        <x:v>Exclude depreciation, debt service and income tax</x:v>
      </x:c>
      <x:c r="E9" s="4"/>
      <x:c r="F9" s="4"/>
      <x:c r="G9" s="10" t="str">
        <x:v>Base contribution</x:v>
      </x:c>
      <x:c r="H9" s="4"/>
      <x:c r="I9" s="4"/>
      <x:c r="J9" s="4"/>
      <x:c r="K9" s="4" t="n">
        <x:f>C6*(C7-C8)</x:f>
        <x:v>1350000</x:v>
      </x:c>
      <x:c r="L9" s="4"/>
      <x:c r="M9" s="4"/>
      <x:c r="N9" s="4"/>
    </x:row>
    <x:row r="10" ht="30" customHeight="1">
      <x:c r="A10" s="10" t="str">
        <x:v>Saleable monthly capacity</x:v>
      </x:c>
      <x:c r="B10" s="10"/>
      <x:c r="C10" s="16" t="n">
        <x:v>2000</x:v>
      </x:c>
      <x:c r="D10" s="10" t="str">
        <x:v>Use safe capacity, not only theoretical output</x:v>
      </x:c>
      <x:c r="E10" s="4"/>
      <x:c r="F10" s="4"/>
      <x:c r="G10" s="10" t="str">
        <x:v>Base operating cash profit</x:v>
      </x:c>
      <x:c r="H10" s="4"/>
      <x:c r="I10" s="4"/>
      <x:c r="J10" s="4"/>
      <x:c r="K10" s="4" t="n">
        <x:f>C6*(C7-C8)-C9</x:f>
        <x:v>460000</x:v>
      </x:c>
      <x:c r="L10" s="4"/>
      <x:c r="M10" s="4"/>
      <x:c r="N10" s="4"/>
    </x:row>
    <x:row r="11" ht="30" customHeight="1">
      <x:c r="A11" s="10" t="str">
        <x:v>Monthly volume growth</x:v>
      </x:c>
      <x:c r="B11" s="10"/>
      <x:c r="C11" s="18" t="n">
        <x:v>0.02</x:v>
      </x:c>
      <x:c r="D11" s="10" t="str">
        <x:v>Scenario, capped by capacity</x:v>
      </x:c>
      <x:c r="E11" s="4"/>
      <x:c r="F11" s="4"/>
      <x:c r="G11" s="10" t="str">
        <x:v>Contribution margin</x:v>
      </x:c>
      <x:c r="H11" s="4"/>
      <x:c r="I11" s="4"/>
      <x:c r="J11" s="4"/>
      <x:c r="K11" s="20" t="n">
        <x:f>IF(C7&gt;0,(C7-C8)/C7,0)</x:f>
        <x:v>0.7105263157894737</x:v>
      </x:c>
      <x:c r="L11" s="4"/>
      <x:c r="M11" s="4"/>
      <x:c r="N11" s="4"/>
    </x:row>
    <x:row r="12" ht="30" customHeight="1">
      <x:c r="A12" s="10" t="str">
        <x:v>Monthly fixed-cost growth</x:v>
      </x:c>
      <x:c r="B12" s="10"/>
      <x:c r="C12" s="18" t="n">
        <x:v>0.003</x:v>
      </x:c>
      <x:c r="D12" s="10" t="str">
        <x:v>Scenario inflation; not a forecast</x:v>
      </x:c>
      <x:c r="E12" s="4"/>
      <x:c r="F12" s="4"/>
      <x:c r="G12" s="10" t="str">
        <x:v>Break-even units</x:v>
      </x:c>
      <x:c r="H12" s="4"/>
      <x:c r="I12" s="4"/>
      <x:c r="J12" s="4"/>
      <x:c r="K12" s="4" t="n">
        <x:f>IF(C7&gt;C8,C9/(C7-C8),"Not attainable")</x:f>
        <x:v>824.074074074074</x:v>
      </x:c>
      <x:c r="L12" s="4"/>
      <x:c r="M12" s="4"/>
      <x:c r="N12" s="4"/>
    </x:row>
    <x:row r="13" ht="30" customHeight="1">
      <x:c r="A13" s="10" t="str">
        <x:v>Startup capital expenditure</x:v>
      </x:c>
      <x:c r="B13" s="10"/>
      <x:c r="C13" s="16" t="n">
        <x:v>6000000</x:v>
      </x:c>
      <x:c r="D13" s="10" t="str">
        <x:v>Equipment / setup cash</x:v>
      </x:c>
      <x:c r="E13" s="4"/>
      <x:c r="F13" s="4"/>
      <x:c r="G13" s="10" t="str">
        <x:v>Break-even sales</x:v>
      </x:c>
      <x:c r="H13" s="4"/>
      <x:c r="I13" s="4"/>
      <x:c r="J13" s="4"/>
      <x:c r="K13" s="4" t="n">
        <x:f>IF(C7&gt;C8,C9/(1-C8/C7),"Not attainable")</x:f>
        <x:v>1252592.5925925926</x:v>
      </x:c>
      <x:c r="L13" s="4"/>
      <x:c r="M13" s="4"/>
      <x:c r="N13" s="4"/>
    </x:row>
    <x:row r="14" ht="30" customHeight="1">
      <x:c r="A14" s="10" t="str">
        <x:v>Refundable lease deposit</x:v>
      </x:c>
      <x:c r="B14" s="10"/>
      <x:c r="C14" s="16" t="n">
        <x:v>900000</x:v>
      </x:c>
      <x:c r="D14" s="10" t="str">
        <x:v>Recoverable asset; not operating expense</x:v>
      </x:c>
      <x:c r="E14" s="4"/>
      <x:c r="F14" s="4"/>
      <x:c r="G14" s="10" t="str">
        <x:v>Capacity utilisation</x:v>
      </x:c>
      <x:c r="H14" s="4"/>
      <x:c r="I14" s="4"/>
      <x:c r="J14" s="4"/>
      <x:c r="K14" s="20" t="n">
        <x:f>IF(C10&gt;0,C6/C10,0)</x:f>
        <x:v>0.625</x:v>
      </x:c>
      <x:c r="L14" s="4"/>
      <x:c r="M14" s="4"/>
      <x:c r="N14" s="4"/>
    </x:row>
    <x:row r="15" ht="30" customHeight="1">
      <x:c r="A15" s="10" t="str">
        <x:v>Opening cash after startup spend</x:v>
      </x:c>
      <x:c r="B15" s="10"/>
      <x:c r="C15" s="16" t="n">
        <x:v>2200000</x:v>
      </x:c>
      <x:c r="D15" s="10" t="str">
        <x:v>Funded buffer after initial capital spend</x:v>
      </x:c>
      <x:c r="E15" s="4"/>
      <x:c r="F15" s="4"/>
      <x:c r="G15" s="10" t="str">
        <x:v>Startup cash uses</x:v>
      </x:c>
      <x:c r="H15" s="4"/>
      <x:c r="I15" s="4"/>
      <x:c r="J15" s="4"/>
      <x:c r="K15" s="4" t="n">
        <x:f>SUM(C13:C15)+C35+C36</x:f>
        <x:v>9300000</x:v>
      </x:c>
      <x:c r="L15" s="4"/>
      <x:c r="M15" s="4"/>
      <x:c r="N15" s="4"/>
    </x:row>
    <x:row r="16" ht="30" customHeight="1">
      <x:c r="A16" s="10" t="str">
        <x:v>Receivable days</x:v>
      </x:c>
      <x:c r="B16" s="10"/>
      <x:c r="C16" s="16" t="n">
        <x:v>40</x:v>
      </x:c>
      <x:c r="D16" s="10" t="str">
        <x:v>Recognised revenue awaiting payment</x:v>
      </x:c>
      <x:c r="E16" s="4"/>
      <x:c r="F16" s="4"/>
      <x:c r="G16" s="10" t="str">
        <x:v>Equity cash required</x:v>
      </x:c>
      <x:c r="H16" s="4"/>
      <x:c r="I16" s="4"/>
      <x:c r="J16" s="4"/>
      <x:c r="K16" s="4" t="n">
        <x:f>MAX(0,K15-C19)</x:f>
        <x:v>6300000</x:v>
      </x:c>
      <x:c r="L16" s="4"/>
      <x:c r="M16" s="4"/>
      <x:c r="N16" s="4"/>
    </x:row>
    <x:row r="17" ht="30" customHeight="1">
      <x:c r="A17" s="10" t="str">
        <x:v>Own inventory days</x:v>
      </x:c>
      <x:c r="B17" s="10"/>
      <x:c r="C17" s="16" t="n">
        <x:v>5</x:v>
      </x:c>
      <x:c r="D17" s="10" t="str">
        <x:v>Own goods only; exclude clients’ stock</x:v>
      </x:c>
      <x:c r="E17" s="4"/>
      <x:c r="F17" s="4"/>
      <x:c r="G17" s="10" t="str">
        <x:v>Loan above startup uses</x:v>
      </x:c>
      <x:c r="H17" s="4"/>
      <x:c r="I17" s="4"/>
      <x:c r="J17" s="4"/>
      <x:c r="K17" s="4" t="n">
        <x:f>MAX(0,C19-K15)</x:f>
        <x:v>0</x:v>
      </x:c>
      <x:c r="L17" s="4"/>
      <x:c r="M17" s="4"/>
      <x:c r="N17" s="4"/>
    </x:row>
    <x:row r="18" ht="30" customHeight="1">
      <x:c r="A18" s="10" t="str">
        <x:v>Supplier-credit days</x:v>
      </x:c>
      <x:c r="B18" s="10"/>
      <x:c r="C18" s="16" t="n">
        <x:v>20</x:v>
      </x:c>
      <x:c r="D18" s="10" t="str">
        <x:v>Only on supplier-credit-eligible costs</x:v>
      </x:c>
      <x:c r="E18" s="4"/>
      <x:c r="F18" s="4"/>
      <x:c r="G18" s="10" t="str">
        <x:v>Downside revenue</x:v>
      </x:c>
      <x:c r="H18" s="4"/>
      <x:c r="I18" s="4"/>
      <x:c r="J18" s="4"/>
      <x:c r="K18" s="4" t="n">
        <x:f>C6*(1+C26)*C7</x:f>
        <x:v>1520000</x:v>
      </x:c>
      <x:c r="L18" s="4"/>
      <x:c r="M18" s="4"/>
      <x:c r="N18" s="4"/>
    </x:row>
    <x:row r="19" ht="30" customHeight="1">
      <x:c r="A19" s="10" t="str">
        <x:v>Startup loan proceeds</x:v>
      </x:c>
      <x:c r="B19" s="10"/>
      <x:c r="C19" s="16" t="n">
        <x:v>3000000</x:v>
      </x:c>
      <x:c r="D19" s="10" t="str">
        <x:v>Not income</x:v>
      </x:c>
      <x:c r="E19" s="4"/>
      <x:c r="F19" s="4"/>
      <x:c r="G19" s="10" t="str">
        <x:v>Downside contribution</x:v>
      </x:c>
      <x:c r="H19" s="4"/>
      <x:c r="I19" s="4"/>
      <x:c r="J19" s="4"/>
      <x:c r="K19" s="4" t="n">
        <x:f>C6*(1+C26)*(C7-C8*(1+C27))</x:f>
        <x:v>1036000</x:v>
      </x:c>
      <x:c r="L19" s="4"/>
      <x:c r="M19" s="4"/>
      <x:c r="N19" s="4"/>
    </x:row>
    <x:row r="20" ht="30" customHeight="1">
      <x:c r="A20" s="10" t="str">
        <x:v>Annual loan interest</x:v>
      </x:c>
      <x:c r="B20" s="10"/>
      <x:c r="C20" s="18" t="n">
        <x:v>0.12</x:v>
      </x:c>
      <x:c r="D20" s="10" t="str">
        <x:v>Assumption, not lender offer</x:v>
      </x:c>
      <x:c r="E20" s="4"/>
      <x:c r="F20" s="4"/>
      <x:c r="G20" s="10" t="str">
        <x:v>Downside operating result</x:v>
      </x:c>
      <x:c r="H20" s="4"/>
      <x:c r="I20" s="4"/>
      <x:c r="J20" s="4"/>
      <x:c r="K20" s="4" t="n">
        <x:f>K19-C9</x:f>
        <x:v>146000</x:v>
      </x:c>
      <x:c r="L20" s="4"/>
      <x:c r="M20" s="4"/>
      <x:c r="N20" s="4"/>
    </x:row>
    <x:row r="21" ht="30" customHeight="1">
      <x:c r="A21" s="10" t="str">
        <x:v>Equal-principal tenor (months)</x:v>
      </x:c>
      <x:c r="B21" s="10"/>
      <x:c r="C21" s="16" t="n">
        <x:v>60</x:v>
      </x:c>
      <x:c r="D21" s="10" t="str">
        <x:v>Equal principal, not a constant EMI</x:v>
      </x:c>
      <x:c r="E21" s="4"/>
      <x:c r="F21" s="4"/>
      <x:c r="G21" s="10" t="str">
        <x:v>Extra collection cash lock</x:v>
      </x:c>
      <x:c r="H21" s="4"/>
      <x:c r="I21" s="4"/>
      <x:c r="J21" s="4"/>
      <x:c r="K21" s="4" t="n">
        <x:f>C6*C7*C28/C29</x:f>
        <x:v>1900000</x:v>
      </x:c>
      <x:c r="L21" s="4"/>
      <x:c r="M21" s="4"/>
      <x:c r="N21" s="4"/>
    </x:row>
    <x:row r="22" ht="30" customHeight="1">
      <x:c r="A22" s="10" t="str">
        <x:v>Monthly maintenance capex</x:v>
      </x:c>
      <x:c r="B22" s="10"/>
      <x:c r="C22" s="16" t="n">
        <x:v>12000</x:v>
      </x:c>
      <x:c r="D22" s="10" t="str">
        <x:v>Cash replacement / maintenance equipment</x:v>
      </x:c>
      <x:c r="E22" s="4"/>
      <x:c r="F22" s="4"/>
      <x:c r="G22" s="10" t="str">
        <x:v>Year-one revenue</x:v>
      </x:c>
      <x:c r="H22" s="4"/>
      <x:c r="I22" s="4"/>
      <x:c r="J22" s="4"/>
      <x:c r="K22" s="4" t="n">
        <x:f>SUM(C45:N45)</x:f>
        <x:v>25482970.483441807</x:v>
      </x:c>
      <x:c r="L22" s="4"/>
      <x:c r="M22" s="4"/>
      <x:c r="N22" s="4"/>
    </x:row>
    <x:row r="23" ht="30" customHeight="1">
      <x:c r="A23" s="10" t="str">
        <x:v>Monthly income-tax cash</x:v>
      </x:c>
      <x:c r="B23" s="10"/>
      <x:c r="C23" s="16" t="n">
        <x:v>0</x:v>
      </x:c>
      <x:c r="D23" s="10" t="str">
        <x:v>REQUIRED: independently compute taxes</x:v>
      </x:c>
      <x:c r="E23" s="4"/>
      <x:c r="F23" s="4"/>
      <x:c r="G23" s="10" t="str">
        <x:v>Year-one operating cash profit</x:v>
      </x:c>
      <x:c r="H23" s="4"/>
      <x:c r="I23" s="4"/>
      <x:c r="J23" s="4"/>
      <x:c r="K23" s="4" t="n">
        <x:f>SUM(C50:N50)</x:f>
        <x:v>7248326.980826188</x:v>
      </x:c>
      <x:c r="L23" s="4"/>
      <x:c r="M23" s="4"/>
      <x:c r="N23" s="4"/>
    </x:row>
    <x:row r="24" ht="30" customHeight="1">
      <x:c r="A24" s="10" t="str">
        <x:v>Monthly net GST cash outflow</x:v>
      </x:c>
      <x:c r="B24" s="10"/>
      <x:c r="C24" s="16" t="n">
        <x:v>0</x:v>
      </x:c>
      <x:c r="D24" s="10" t="str">
        <x:v>REQUIRED: no GST liability calculated</x:v>
      </x:c>
      <x:c r="E24" s="4"/>
      <x:c r="F24" s="4"/>
      <x:c r="G24" s="10" t="str">
        <x:v>Year-end cash</x:v>
      </x:c>
      <x:c r="H24" s="4"/>
      <x:c r="I24" s="4"/>
      <x:c r="J24" s="4"/>
      <x:c r="K24" s="4" t="n">
        <x:f>N68</x:f>
        <x:v>5478192.551752657</x:v>
      </x:c>
      <x:c r="L24" s="4"/>
      <x:c r="M24" s="4"/>
      <x:c r="N24" s="4"/>
    </x:row>
    <x:row r="25" ht="30" customHeight="1">
      <x:c r="A25" s="10" t="str">
        <x:v>Monthly owner drawings</x:v>
      </x:c>
      <x:c r="B25" s="10"/>
      <x:c r="C25" s="16" t="n">
        <x:v>0</x:v>
      </x:c>
      <x:c r="D25" s="10" t="str">
        <x:v>Distribution, not operating expense</x:v>
      </x:c>
      <x:c r="E25" s="4"/>
      <x:c r="F25" s="4"/>
      <x:c r="G25" s="10" t="str">
        <x:v>Lowest closing cash</x:v>
      </x:c>
      <x:c r="H25" s="4"/>
      <x:c r="I25" s="4"/>
      <x:c r="J25" s="4"/>
      <x:c r="K25" s="4" t="n">
        <x:f>MIN(C68:N68)</x:f>
        <x:v>236333.33333333302</x:v>
      </x:c>
      <x:c r="L25" s="4"/>
      <x:c r="M25" s="4"/>
      <x:c r="N25" s="4"/>
    </x:row>
    <x:row r="26" ht="30" customHeight="1">
      <x:c r="A26" s="10" t="str">
        <x:v>Downside volume change</x:v>
      </x:c>
      <x:c r="B26" s="10"/>
      <x:c r="C26" s="18" t="n">
        <x:v>-0.2</x:v>
      </x:c>
      <x:c r="D26" s="10" t="str">
        <x:v>Stress case, not forecast</x:v>
      </x:c>
      <x:c r="E26" s="4"/>
      <x:c r="F26" s="4"/>
      <x:c r="G26" s="10" t="str">
        <x:v>Funding to avoid deficit</x:v>
      </x:c>
      <x:c r="H26" s="4"/>
      <x:c r="I26" s="4"/>
      <x:c r="J26" s="4"/>
      <x:c r="K26" s="4" t="n">
        <x:f>MAX(0,-MIN(C68:N68))</x:f>
        <x:v>0</x:v>
      </x:c>
      <x:c r="L26" s="4"/>
      <x:c r="M26" s="4"/>
      <x:c r="N26" s="4"/>
    </x:row>
    <x:row r="27" ht="30" customHeight="1">
      <x:c r="A27" s="10" t="str">
        <x:v>Downside unit-cost change</x:v>
      </x:c>
      <x:c r="B27" s="10"/>
      <x:c r="C27" s="18" t="n">
        <x:v>0.1</x:v>
      </x:c>
      <x:c r="D27" s="10" t="str">
        <x:v>Stress case, not forecast</x:v>
      </x:c>
      <x:c r="E27" s="4"/>
      <x:c r="F27" s="4"/>
      <x:c r="G27" s="10" t="str">
        <x:v>Funding to preserve buffer</x:v>
      </x:c>
      <x:c r="H27" s="4"/>
      <x:c r="I27" s="4"/>
      <x:c r="J27" s="4"/>
      <x:c r="K27" s="4" t="n">
        <x:f>MAX(0,C15-MIN(C68:N68))</x:f>
        <x:v>1963666.666666667</x:v>
      </x:c>
      <x:c r="L27" s="4"/>
      <x:c r="M27" s="4"/>
      <x:c r="N27" s="4"/>
    </x:row>
    <x:row r="28" ht="30" customHeight="1">
      <x:c r="A28" s="10" t="str">
        <x:v>Extra collection days</x:v>
      </x:c>
      <x:c r="B28" s="10"/>
      <x:c r="C28" s="16" t="n">
        <x:v>30</x:v>
      </x:c>
      <x:c r="D28" s="10" t="str">
        <x:v>Receivable shock, not expense</x:v>
      </x:c>
      <x:c r="E28" s="4"/>
      <x:c r="F28" s="4"/>
      <x:c r="G28" s="10" t="str">
        <x:v>Input / funding check</x:v>
      </x:c>
      <x:c r="H28" s="4"/>
      <x:c r="I28" s="4"/>
      <x:c r="J28" s="4"/>
      <x:c r="K28" s="4" t="str">
        <x:f>IF(OR(C6&gt;C10,C7&lt;=C8,C21&lt;=0,C29&lt;=0,C30&lt;=0,C33&lt;=0,K17&gt;0),"REVIEW INPUTS","OK")</x:f>
        <x:v>OK</x:v>
      </x:c>
      <x:c r="L28" s="4"/>
      <x:c r="M28" s="4"/>
      <x:c r="N28" s="4"/>
    </x:row>
    <x:row r="29" ht="38" customHeight="1">
      <x:c r="A29" s="10" t="str">
        <x:v>Planning days per month</x:v>
      </x:c>
      <x:c r="B29" s="10"/>
      <x:c r="C29" s="16" t="n">
        <x:v>30</x:v>
      </x:c>
      <x:c r="D29" s="10" t="str">
        <x:v>Working-capital convention</x:v>
      </x:c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38" customHeight="1">
      <x:c r="A30" s="10" t="str">
        <x:v>Months per year</x:v>
      </x:c>
      <x:c r="B30" s="10"/>
      <x:c r="C30" s="16" t="n">
        <x:v>12</x:v>
      </x:c>
      <x:c r="D30" s="10" t="str">
        <x:v>Annualisation</x:v>
      </x:c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38" customHeight="1">
      <x:c r="A31" s="10" t="str">
        <x:v>Inventory share of direct cost</x:v>
      </x:c>
      <x:c r="B31" s="10"/>
      <x:c r="C31" s="18" t="n">
        <x:v>0.6</x:v>
      </x:c>
      <x:c r="D31" s="10" t="str">
        <x:v>Fraction 0–1</x:v>
      </x:c>
      <x:c r="E31" s="4"/>
      <x:c r="F31" s="4"/>
      <x:c r="G31" s="23" t="str">
        <x:v>Read before using: a new-business model with zero opening working capital. Taxes / net GST cash are user inputs. Loan uses equal principal; use a lender schedule for EMI debt. Receivable, own-stock and supplier-credit shares are estimates. EBITDA/debt service is a proxy before tax and working capital, not a bank covenant. This is not a balanced balance sheet.</x:v>
      </x:c>
      <x:c r="H31" s="23"/>
      <x:c r="I31" s="23"/>
      <x:c r="J31" s="23"/>
      <x:c r="K31" s="23"/>
      <x:c r="L31" s="23"/>
      <x:c r="M31" s="23"/>
      <x:c r="N31" s="23"/>
    </x:row>
    <x:row r="32" ht="38" customHeight="1">
      <x:c r="A32" s="10" t="str">
        <x:v>Supplier-credit share of cost</x:v>
      </x:c>
      <x:c r="B32" s="10"/>
      <x:c r="C32" s="18" t="n">
        <x:v>0.7</x:v>
      </x:c>
      <x:c r="D32" s="10" t="str">
        <x:v>Fraction 0–1</x:v>
      </x:c>
      <x:c r="E32" s="4"/>
      <x:c r="F32" s="4"/>
      <x:c r="G32" s="23"/>
      <x:c r="H32" s="23"/>
      <x:c r="I32" s="23"/>
      <x:c r="J32" s="23"/>
      <x:c r="K32" s="23"/>
      <x:c r="L32" s="23"/>
      <x:c r="M32" s="23"/>
      <x:c r="N32" s="23"/>
    </x:row>
    <x:row r="33" ht="38" customHeight="1">
      <x:c r="A33" s="10" t="str">
        <x:v>Planning asset life (years)</x:v>
      </x:c>
      <x:c r="B33" s="10"/>
      <x:c r="C33" s="16" t="n">
        <x:v>5</x:v>
      </x:c>
      <x:c r="D33" s="10" t="str">
        <x:v>Economic straight-line life, not tax depreciation</x:v>
      </x:c>
      <x:c r="E33" s="4"/>
      <x:c r="F33" s="4"/>
      <x:c r="G33" s="23"/>
      <x:c r="H33" s="23"/>
      <x:c r="I33" s="23"/>
      <x:c r="J33" s="23"/>
      <x:c r="K33" s="23"/>
      <x:c r="L33" s="23"/>
      <x:c r="M33" s="23"/>
      <x:c r="N33" s="23"/>
    </x:row>
    <x:row r="34" ht="38" customHeight="1">
      <x:c r="A34" s="10" t="str">
        <x:v>Monthly realised-price growth</x:v>
      </x:c>
      <x:c r="B34" s="10"/>
      <x:c r="C34" s="18" t="n">
        <x:v>0</x:v>
      </x:c>
      <x:c r="D34" s="10" t="str">
        <x:v>Scenario only</x:v>
      </x:c>
      <x:c r="E34" s="4"/>
      <x:c r="F34" s="4"/>
      <x:c r="G34" s="23"/>
      <x:c r="H34" s="23"/>
      <x:c r="I34" s="23"/>
      <x:c r="J34" s="23"/>
      <x:c r="K34" s="23"/>
      <x:c r="L34" s="23"/>
      <x:c r="M34" s="23"/>
      <x:c r="N34" s="23"/>
    </x:row>
    <x:row r="35" ht="38" customHeight="1">
      <x:c r="A35" s="10" t="str">
        <x:v>One-off launch cost</x:v>
      </x:c>
      <x:c r="B35" s="10"/>
      <x:c r="C35" s="16" t="n">
        <x:v>200000</x:v>
      </x:c>
      <x:c r="D35" s="10" t="str">
        <x:v>Startup cash, outside recurring fixed cost</x:v>
      </x:c>
      <x:c r="E35" s="4"/>
      <x:c r="F35" s="4"/>
      <x:c r="G35" s="23"/>
      <x:c r="H35" s="23"/>
      <x:c r="I35" s="23"/>
      <x:c r="J35" s="23"/>
      <x:c r="K35" s="23"/>
      <x:c r="L35" s="23"/>
      <x:c r="M35" s="23"/>
      <x:c r="N35" s="23"/>
    </x:row>
    <x:row r="36" ht="38" customHeight="1">
      <x:c r="A36" s="10" t="str">
        <x:v>Supplier advance at startup</x:v>
      </x:c>
      <x:c r="B36" s="10"/>
      <x:c r="C36" s="16" t="n">
        <x:v>0</x:v>
      </x:c>
      <x:c r="D36" s="10" t="str">
        <x:v>Not an immediate expense</x:v>
      </x:c>
      <x:c r="E36" s="4"/>
      <x:c r="F36" s="4"/>
      <x:c r="G36" s="23"/>
      <x:c r="H36" s="23"/>
      <x:c r="I36" s="23"/>
      <x:c r="J36" s="23"/>
      <x:c r="K36" s="23"/>
      <x:c r="L36" s="23"/>
      <x:c r="M36" s="23"/>
      <x:c r="N36" s="23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3" customHeight="1">
      <x:c r="A40" s="27" t="str">
        <x:v>12-MONTH CASH FORECAST | INR | operating profit is not free cash</x:v>
      </x:c>
      <x:c r="B40" s="27"/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3" customHeight="1">
      <x:c r="A42" s="4"/>
      <x:c r="B42" s="4"/>
      <x:c r="C42" s="4" t="str">
        <x:v>Month 1</x:v>
      </x:c>
      <x:c r="D42" s="4" t="str">
        <x:v>Month 2</x:v>
      </x:c>
      <x:c r="E42" s="4" t="str">
        <x:v>Month 3</x:v>
      </x:c>
      <x:c r="F42" s="4" t="str">
        <x:v>Month 4</x:v>
      </x:c>
      <x:c r="G42" s="4" t="str">
        <x:v>Month 5</x:v>
      </x:c>
      <x:c r="H42" s="4" t="str">
        <x:v>Month 6</x:v>
      </x:c>
      <x:c r="I42" s="4" t="str">
        <x:v>Month 7</x:v>
      </x:c>
      <x:c r="J42" s="4" t="str">
        <x:v>Month 8</x:v>
      </x:c>
      <x:c r="K42" s="4" t="str">
        <x:v>Month 9</x:v>
      </x:c>
      <x:c r="L42" s="4" t="str">
        <x:v>Month 10</x:v>
      </x:c>
      <x:c r="M42" s="4" t="str">
        <x:v>Month 11</x:v>
      </x:c>
      <x:c r="N42" s="4" t="str">
        <x:v>Month 12</x:v>
      </x:c>
    </x:row>
    <x:row r="43" ht="31" customHeight="1">
      <x:c r="A43" s="10" t="str">
        <x:v>Retained / billable volume</x:v>
      </x:c>
      <x:c r="B43" s="4"/>
      <x:c r="C43" s="4" t="n">
        <x:f>MIN($C$10,$C$6*(1+$C$11)^0)</x:f>
        <x:v>1250</x:v>
      </x:c>
      <x:c r="D43" s="4" t="n">
        <x:f>MIN($C$10,$C$6*(1+$C$11)^1)</x:f>
        <x:v>1275</x:v>
      </x:c>
      <x:c r="E43" s="4" t="n">
        <x:f>MIN($C$10,$C$6*(1+$C$11)^2)</x:f>
        <x:v>1300.5</x:v>
      </x:c>
      <x:c r="F43" s="4" t="n">
        <x:f>MIN($C$10,$C$6*(1+$C$11)^3)</x:f>
        <x:v>1326.51</x:v>
      </x:c>
      <x:c r="G43" s="4" t="n">
        <x:f>MIN($C$10,$C$6*(1+$C$11)^4)</x:f>
        <x:v>1353.0402</x:v>
      </x:c>
      <x:c r="H43" s="4" t="n">
        <x:f>MIN($C$10,$C$6*(1+$C$11)^5)</x:f>
        <x:v>1380.101004</x:v>
      </x:c>
      <x:c r="I43" s="4" t="n">
        <x:f>MIN($C$10,$C$6*(1+$C$11)^6)</x:f>
        <x:v>1407.70302408</x:v>
      </x:c>
      <x:c r="J43" s="4" t="n">
        <x:f>MIN($C$10,$C$6*(1+$C$11)^7)</x:f>
        <x:v>1435.8570845615998</x:v>
      </x:c>
      <x:c r="K43" s="4" t="n">
        <x:f>MIN($C$10,$C$6*(1+$C$11)^8)</x:f>
        <x:v>1464.574226252832</x:v>
      </x:c>
      <x:c r="L43" s="4" t="n">
        <x:f>MIN($C$10,$C$6*(1+$C$11)^9)</x:f>
        <x:v>1493.8657107778886</x:v>
      </x:c>
      <x:c r="M43" s="4" t="n">
        <x:f>MIN($C$10,$C$6*(1+$C$11)^10)</x:f>
        <x:v>1523.7430249934464</x:v>
      </x:c>
      <x:c r="N43" s="4" t="n">
        <x:f>MIN($C$10,$C$6*(1+$C$11)^11)</x:f>
        <x:v>1554.217885493315</x:v>
      </x:c>
    </x:row>
    <x:row r="44" ht="31" customHeight="1">
      <x:c r="A44" s="10" t="str">
        <x:v>Net unit price</x:v>
      </x:c>
      <x:c r="B44" s="4"/>
      <x:c r="C44" s="4" t="n">
        <x:f>$C$7*(1+$C$34)^0</x:f>
        <x:v>1520</x:v>
      </x:c>
      <x:c r="D44" s="4" t="n">
        <x:f>$C$7*(1+$C$34)^1</x:f>
        <x:v>1520</x:v>
      </x:c>
      <x:c r="E44" s="4" t="n">
        <x:f>$C$7*(1+$C$34)^2</x:f>
        <x:v>1520</x:v>
      </x:c>
      <x:c r="F44" s="4" t="n">
        <x:f>$C$7*(1+$C$34)^3</x:f>
        <x:v>1520</x:v>
      </x:c>
      <x:c r="G44" s="4" t="n">
        <x:f>$C$7*(1+$C$34)^4</x:f>
        <x:v>1520</x:v>
      </x:c>
      <x:c r="H44" s="4" t="n">
        <x:f>$C$7*(1+$C$34)^5</x:f>
        <x:v>1520</x:v>
      </x:c>
      <x:c r="I44" s="4" t="n">
        <x:f>$C$7*(1+$C$34)^6</x:f>
        <x:v>1520</x:v>
      </x:c>
      <x:c r="J44" s="4" t="n">
        <x:f>$C$7*(1+$C$34)^7</x:f>
        <x:v>1520</x:v>
      </x:c>
      <x:c r="K44" s="4" t="n">
        <x:f>$C$7*(1+$C$34)^8</x:f>
        <x:v>1520</x:v>
      </x:c>
      <x:c r="L44" s="4" t="n">
        <x:f>$C$7*(1+$C$34)^9</x:f>
        <x:v>1520</x:v>
      </x:c>
      <x:c r="M44" s="4" t="n">
        <x:f>$C$7*(1+$C$34)^10</x:f>
        <x:v>1520</x:v>
      </x:c>
      <x:c r="N44" s="4" t="n">
        <x:f>$C$7*(1+$C$34)^11</x:f>
        <x:v>1520</x:v>
      </x:c>
    </x:row>
    <x:row r="45" ht="31" customHeight="1">
      <x:c r="A45" s="23" t="str">
        <x:v>Net revenue</x:v>
      </x:c>
      <x:c r="B45" s="22"/>
      <x:c r="C45" s="22" t="n">
        <x:f>C43*C44</x:f>
        <x:v>1900000</x:v>
      </x:c>
      <x:c r="D45" s="22" t="n">
        <x:f>D43*D44</x:f>
        <x:v>1938000</x:v>
      </x:c>
      <x:c r="E45" s="22" t="n">
        <x:f>E43*E44</x:f>
        <x:v>1976760</x:v>
      </x:c>
      <x:c r="F45" s="22" t="n">
        <x:f>F43*F44</x:f>
        <x:v>2016295.2</x:v>
      </x:c>
      <x:c r="G45" s="22" t="n">
        <x:f>G43*G44</x:f>
        <x:v>2056621.1039999998</x:v>
      </x:c>
      <x:c r="H45" s="22" t="n">
        <x:f>H43*H44</x:f>
        <x:v>2097753.52608</x:v>
      </x:c>
      <x:c r="I45" s="22" t="n">
        <x:f>I43*I44</x:f>
        <x:v>2139708.5966016</x:v>
      </x:c>
      <x:c r="J45" s="22" t="n">
        <x:f>J43*J44</x:f>
        <x:v>2182502.7685336317</x:v>
      </x:c>
      <x:c r="K45" s="22" t="n">
        <x:f>K43*K44</x:f>
        <x:v>2226152.8239043048</x:v>
      </x:c>
      <x:c r="L45" s="22" t="n">
        <x:f>L43*L44</x:f>
        <x:v>2270675.8803823907</x:v>
      </x:c>
      <x:c r="M45" s="22" t="n">
        <x:f>M43*M44</x:f>
        <x:v>2316089.3979900386</x:v>
      </x:c>
      <x:c r="N45" s="22" t="n">
        <x:f>N43*N44</x:f>
        <x:v>2362411.1859498387</x:v>
      </x:c>
    </x:row>
    <x:row r="46" ht="31" customHeight="1">
      <x:c r="A46" s="10" t="str">
        <x:v>Variable cost per unit</x:v>
      </x:c>
      <x:c r="B46" s="4"/>
      <x:c r="C46" s="4" t="n">
        <x:f>$C$8</x:f>
        <x:v>440</x:v>
      </x:c>
      <x:c r="D46" s="4" t="n">
        <x:f>$C$8</x:f>
        <x:v>440</x:v>
      </x:c>
      <x:c r="E46" s="4" t="n">
        <x:f>$C$8</x:f>
        <x:v>440</x:v>
      </x:c>
      <x:c r="F46" s="4" t="n">
        <x:f>$C$8</x:f>
        <x:v>440</x:v>
      </x:c>
      <x:c r="G46" s="4" t="n">
        <x:f>$C$8</x:f>
        <x:v>440</x:v>
      </x:c>
      <x:c r="H46" s="4" t="n">
        <x:f>$C$8</x:f>
        <x:v>440</x:v>
      </x:c>
      <x:c r="I46" s="4" t="n">
        <x:f>$C$8</x:f>
        <x:v>440</x:v>
      </x:c>
      <x:c r="J46" s="4" t="n">
        <x:f>$C$8</x:f>
        <x:v>440</x:v>
      </x:c>
      <x:c r="K46" s="4" t="n">
        <x:f>$C$8</x:f>
        <x:v>440</x:v>
      </x:c>
      <x:c r="L46" s="4" t="n">
        <x:f>$C$8</x:f>
        <x:v>440</x:v>
      </x:c>
      <x:c r="M46" s="4" t="n">
        <x:f>$C$8</x:f>
        <x:v>440</x:v>
      </x:c>
      <x:c r="N46" s="4" t="n">
        <x:f>$C$8</x:f>
        <x:v>440</x:v>
      </x:c>
    </x:row>
    <x:row r="47" ht="31" customHeight="1">
      <x:c r="A47" s="10" t="str">
        <x:v>Variable cash cost</x:v>
      </x:c>
      <x:c r="B47" s="4"/>
      <x:c r="C47" s="4" t="n">
        <x:f>C43*C46</x:f>
        <x:v>550000</x:v>
      </x:c>
      <x:c r="D47" s="4" t="n">
        <x:f>D43*D46</x:f>
        <x:v>561000</x:v>
      </x:c>
      <x:c r="E47" s="4" t="n">
        <x:f>E43*E46</x:f>
        <x:v>572220</x:v>
      </x:c>
      <x:c r="F47" s="4" t="n">
        <x:f>F43*F46</x:f>
        <x:v>583664.4</x:v>
      </x:c>
      <x:c r="G47" s="4" t="n">
        <x:f>G43*G46</x:f>
        <x:v>595337.688</x:v>
      </x:c>
      <x:c r="H47" s="4" t="n">
        <x:f>H43*H46</x:f>
        <x:v>607244.4417600001</x:v>
      </x:c>
      <x:c r="I47" s="4" t="n">
        <x:f>I43*I46</x:f>
        <x:v>619389.3305952</x:v>
      </x:c>
      <x:c r="J47" s="4" t="n">
        <x:f>J43*J46</x:f>
        <x:v>631777.1172071039</x:v>
      </x:c>
      <x:c r="K47" s="4" t="n">
        <x:f>K43*K46</x:f>
        <x:v>644412.6595512461</x:v>
      </x:c>
      <x:c r="L47" s="4" t="n">
        <x:f>L43*L46</x:f>
        <x:v>657300.912742271</x:v>
      </x:c>
      <x:c r="M47" s="4" t="n">
        <x:f>M43*M46</x:f>
        <x:v>670446.9309971164</x:v>
      </x:c>
      <x:c r="N47" s="4" t="n">
        <x:f>N43*N46</x:f>
        <x:v>683855.8696170585</x:v>
      </x:c>
    </x:row>
    <x:row r="48" ht="31" customHeight="1">
      <x:c r="A48" s="10" t="str">
        <x:v>Contribution</x:v>
      </x:c>
      <x:c r="B48" s="4"/>
      <x:c r="C48" s="4" t="n">
        <x:f>C45-C47</x:f>
        <x:v>1350000</x:v>
      </x:c>
      <x:c r="D48" s="4" t="n">
        <x:f>D45-D47</x:f>
        <x:v>1377000</x:v>
      </x:c>
      <x:c r="E48" s="4" t="n">
        <x:f>E45-E47</x:f>
        <x:v>1404540</x:v>
      </x:c>
      <x:c r="F48" s="4" t="n">
        <x:f>F45-F47</x:f>
        <x:v>1432630.7999999998</x:v>
      </x:c>
      <x:c r="G48" s="4" t="n">
        <x:f>G45-G47</x:f>
        <x:v>1461283.4159999997</x:v>
      </x:c>
      <x:c r="H48" s="4" t="n">
        <x:f>H45-H47</x:f>
        <x:v>1490509.0843200001</x:v>
      </x:c>
      <x:c r="I48" s="4" t="n">
        <x:f>I45-I47</x:f>
        <x:v>1520319.2660063999</x:v>
      </x:c>
      <x:c r="J48" s="4" t="n">
        <x:f>J45-J47</x:f>
        <x:v>1550725.6513265278</x:v>
      </x:c>
      <x:c r="K48" s="4" t="n">
        <x:f>K45-K47</x:f>
        <x:v>1581740.1643530587</x:v>
      </x:c>
      <x:c r="L48" s="4" t="n">
        <x:f>L45-L47</x:f>
        <x:v>1613374.9676401196</x:v>
      </x:c>
      <x:c r="M48" s="4" t="n">
        <x:f>M45-M47</x:f>
        <x:v>1645642.4669929221</x:v>
      </x:c>
      <x:c r="N48" s="4" t="n">
        <x:f>N45-N47</x:f>
        <x:v>1678555.3163327803</x:v>
      </x:c>
    </x:row>
    <x:row r="49" ht="31" customHeight="1">
      <x:c r="A49" s="10" t="str">
        <x:v>Fixed cash costs</x:v>
      </x:c>
      <x:c r="B49" s="4"/>
      <x:c r="C49" s="4" t="n">
        <x:f>$C$9*(1+$C$12)^0</x:f>
        <x:v>890000</x:v>
      </x:c>
      <x:c r="D49" s="4" t="n">
        <x:f>$C$9*(1+$C$12)^1</x:f>
        <x:v>892669.9999999999</x:v>
      </x:c>
      <x:c r="E49" s="4" t="n">
        <x:f>$C$9*(1+$C$12)^2</x:f>
        <x:v>895348.0099999998</x:v>
      </x:c>
      <x:c r="F49" s="4" t="n">
        <x:f>$C$9*(1+$C$12)^3</x:f>
        <x:v>898034.0540299998</x:v>
      </x:c>
      <x:c r="G49" s="4" t="n">
        <x:f>$C$9*(1+$C$12)^4</x:f>
        <x:v>900728.1561920895</x:v>
      </x:c>
      <x:c r="H49" s="4" t="n">
        <x:f>$C$9*(1+$C$12)^5</x:f>
        <x:v>903430.3406606658</x:v>
      </x:c>
      <x:c r="I49" s="4" t="n">
        <x:f>$C$9*(1+$C$12)^6</x:f>
        <x:v>906140.6316826475</x:v>
      </x:c>
      <x:c r="J49" s="4" t="n">
        <x:f>$C$9*(1+$C$12)^7</x:f>
        <x:v>908859.0535776954</x:v>
      </x:c>
      <x:c r="K49" s="4" t="n">
        <x:f>$C$9*(1+$C$12)^8</x:f>
        <x:v>911585.6307384283</x:v>
      </x:c>
      <x:c r="L49" s="4" t="n">
        <x:f>$C$9*(1+$C$12)^9</x:f>
        <x:v>914320.3876306436</x:v>
      </x:c>
      <x:c r="M49" s="4" t="n">
        <x:f>$C$9*(1+$C$12)^10</x:f>
        <x:v>917063.3487935353</x:v>
      </x:c>
      <x:c r="N49" s="4" t="n">
        <x:f>$C$9*(1+$C$12)^11</x:f>
        <x:v>919814.538839916</x:v>
      </x:c>
    </x:row>
    <x:row r="50" ht="31" customHeight="1">
      <x:c r="A50" s="23" t="str">
        <x:v>Operating cash profit (EBITDA)</x:v>
      </x:c>
      <x:c r="B50" s="22"/>
      <x:c r="C50" s="22" t="n">
        <x:f>C48-C49</x:f>
        <x:v>460000</x:v>
      </x:c>
      <x:c r="D50" s="22" t="n">
        <x:f>D48-D49</x:f>
        <x:v>484330.0000000001</x:v>
      </x:c>
      <x:c r="E50" s="22" t="n">
        <x:f>E48-E49</x:f>
        <x:v>509191.9900000002</x:v>
      </x:c>
      <x:c r="F50" s="22" t="n">
        <x:f>F48-F49</x:f>
        <x:v>534596.74597</x:v>
      </x:c>
      <x:c r="G50" s="22" t="n">
        <x:f>G48-G49</x:f>
        <x:v>560555.2598079102</x:v>
      </x:c>
      <x:c r="H50" s="22" t="n">
        <x:f>H48-H49</x:f>
        <x:v>587078.7436593344</x:v>
      </x:c>
      <x:c r="I50" s="22" t="n">
        <x:f>I48-I49</x:f>
        <x:v>614178.6343237524</x:v>
      </x:c>
      <x:c r="J50" s="22" t="n">
        <x:f>J48-J49</x:f>
        <x:v>641866.5977488324</x:v>
      </x:c>
      <x:c r="K50" s="22" t="n">
        <x:f>K48-K49</x:f>
        <x:v>670154.5336146303</x:v>
      </x:c>
      <x:c r="L50" s="22" t="n">
        <x:f>L48-L49</x:f>
        <x:v>699054.580009476</x:v>
      </x:c>
      <x:c r="M50" s="22" t="n">
        <x:f>M48-M49</x:f>
        <x:v>728579.1181993869</x:v>
      </x:c>
      <x:c r="N50" s="22" t="n">
        <x:f>N48-N49</x:f>
        <x:v>758740.7774928643</x:v>
      </x:c>
    </x:row>
    <x:row r="51" ht="31" customHeight="1">
      <x:c r="A51" s="10" t="str">
        <x:v>Planning depreciation</x:v>
      </x:c>
      <x:c r="B51" s="4"/>
      <x:c r="C51" s="4" t="n">
        <x:f>$C$13/$C$33/$C$30</x:f>
        <x:v>100000</x:v>
      </x:c>
      <x:c r="D51" s="4" t="n">
        <x:f>$C$13/$C$33/$C$30</x:f>
        <x:v>100000</x:v>
      </x:c>
      <x:c r="E51" s="4" t="n">
        <x:f>$C$13/$C$33/$C$30</x:f>
        <x:v>100000</x:v>
      </x:c>
      <x:c r="F51" s="4" t="n">
        <x:f>$C$13/$C$33/$C$30</x:f>
        <x:v>100000</x:v>
      </x:c>
      <x:c r="G51" s="4" t="n">
        <x:f>$C$13/$C$33/$C$30</x:f>
        <x:v>100000</x:v>
      </x:c>
      <x:c r="H51" s="4" t="n">
        <x:f>$C$13/$C$33/$C$30</x:f>
        <x:v>100000</x:v>
      </x:c>
      <x:c r="I51" s="4" t="n">
        <x:f>$C$13/$C$33/$C$30</x:f>
        <x:v>100000</x:v>
      </x:c>
      <x:c r="J51" s="4" t="n">
        <x:f>$C$13/$C$33/$C$30</x:f>
        <x:v>100000</x:v>
      </x:c>
      <x:c r="K51" s="4" t="n">
        <x:f>$C$13/$C$33/$C$30</x:f>
        <x:v>100000</x:v>
      </x:c>
      <x:c r="L51" s="4" t="n">
        <x:f>$C$13/$C$33/$C$30</x:f>
        <x:v>100000</x:v>
      </x:c>
      <x:c r="M51" s="4" t="n">
        <x:f>$C$13/$C$33/$C$30</x:f>
        <x:v>100000</x:v>
      </x:c>
      <x:c r="N51" s="4" t="n">
        <x:f>$C$13/$C$33/$C$30</x:f>
        <x:v>100000</x:v>
      </x:c>
    </x:row>
    <x:row r="52" ht="31" customHeight="1">
      <x:c r="A52" s="10" t="str">
        <x:v>Operating profit (EBIT)</x:v>
      </x:c>
      <x:c r="B52" s="4"/>
      <x:c r="C52" s="4" t="n">
        <x:f>C50-C51</x:f>
        <x:v>360000</x:v>
      </x:c>
      <x:c r="D52" s="4" t="n">
        <x:f>D50-D51</x:f>
        <x:v>384330.0000000001</x:v>
      </x:c>
      <x:c r="E52" s="4" t="n">
        <x:f>E50-E51</x:f>
        <x:v>409191.9900000002</x:v>
      </x:c>
      <x:c r="F52" s="4" t="n">
        <x:f>F50-F51</x:f>
        <x:v>434596.74597000005</x:v>
      </x:c>
      <x:c r="G52" s="4" t="n">
        <x:f>G50-G51</x:f>
        <x:v>460555.2598079102</x:v>
      </x:c>
      <x:c r="H52" s="4" t="n">
        <x:f>H50-H51</x:f>
        <x:v>487078.7436593344</x:v>
      </x:c>
      <x:c r="I52" s="4" t="n">
        <x:f>I50-I51</x:f>
        <x:v>514178.63432375237</x:v>
      </x:c>
      <x:c r="J52" s="4" t="n">
        <x:f>J50-J51</x:f>
        <x:v>541866.5977488324</x:v>
      </x:c>
      <x:c r="K52" s="4" t="n">
        <x:f>K50-K51</x:f>
        <x:v>570154.5336146303</x:v>
      </x:c>
      <x:c r="L52" s="4" t="n">
        <x:f>L50-L51</x:f>
        <x:v>599054.580009476</x:v>
      </x:c>
      <x:c r="M52" s="4" t="n">
        <x:f>M50-M51</x:f>
        <x:v>628579.1181993869</x:v>
      </x:c>
      <x:c r="N52" s="4" t="n">
        <x:f>N50-N51</x:f>
        <x:v>658740.7774928643</x:v>
      </x:c>
    </x:row>
    <x:row r="53" ht="31" customHeight="1">
      <x:c r="A53" s="10" t="str">
        <x:v>Receivables</x:v>
      </x:c>
      <x:c r="B53" s="4"/>
      <x:c r="C53" s="4" t="n">
        <x:f>C45*$C$16/$C$29</x:f>
        <x:v>2533333.3333333335</x:v>
      </x:c>
      <x:c r="D53" s="4" t="n">
        <x:f>D45*$C$16/$C$29</x:f>
        <x:v>2584000</x:v>
      </x:c>
      <x:c r="E53" s="4" t="n">
        <x:f>E45*$C$16/$C$29</x:f>
        <x:v>2635680</x:v>
      </x:c>
      <x:c r="F53" s="4" t="n">
        <x:f>F45*$C$16/$C$29</x:f>
        <x:v>2688393.6</x:v>
      </x:c>
      <x:c r="G53" s="4" t="n">
        <x:f>G45*$C$16/$C$29</x:f>
        <x:v>2742161.472</x:v>
      </x:c>
      <x:c r="H53" s="4" t="n">
        <x:f>H45*$C$16/$C$29</x:f>
        <x:v>2797004.7014400004</x:v>
      </x:c>
      <x:c r="I53" s="4" t="n">
        <x:f>I45*$C$16/$C$29</x:f>
        <x:v>2852944.7954688</x:v>
      </x:c>
      <x:c r="J53" s="4" t="n">
        <x:f>J45*$C$16/$C$29</x:f>
        <x:v>2910003.6913781757</x:v>
      </x:c>
      <x:c r="K53" s="4" t="n">
        <x:f>K45*$C$16/$C$29</x:f>
        <x:v>2968203.76520574</x:v>
      </x:c>
      <x:c r="L53" s="4" t="n">
        <x:f>L45*$C$16/$C$29</x:f>
        <x:v>3027567.8405098543</x:v>
      </x:c>
      <x:c r="M53" s="4" t="n">
        <x:f>M45*$C$16/$C$29</x:f>
        <x:v>3088119.1973200515</x:v>
      </x:c>
      <x:c r="N53" s="4" t="n">
        <x:f>N45*$C$16/$C$29</x:f>
        <x:v>3149881.581266452</x:v>
      </x:c>
    </x:row>
    <x:row r="54" ht="31" customHeight="1">
      <x:c r="A54" s="10" t="str">
        <x:v>Own inventory</x:v>
      </x:c>
      <x:c r="B54" s="4"/>
      <x:c r="C54" s="4" t="n">
        <x:f>C47*$C$31*$C$17/$C$29</x:f>
        <x:v>55000</x:v>
      </x:c>
      <x:c r="D54" s="4" t="n">
        <x:f>D47*$C$31*$C$17/$C$29</x:f>
        <x:v>56100</x:v>
      </x:c>
      <x:c r="E54" s="4" t="n">
        <x:f>E47*$C$31*$C$17/$C$29</x:f>
        <x:v>57222</x:v>
      </x:c>
      <x:c r="F54" s="4" t="n">
        <x:f>F47*$C$31*$C$17/$C$29</x:f>
        <x:v>58366.44000000001</x:v>
      </x:c>
      <x:c r="G54" s="4" t="n">
        <x:f>G47*$C$31*$C$17/$C$29</x:f>
        <x:v>59533.76879999999</x:v>
      </x:c>
      <x:c r="H54" s="4" t="n">
        <x:f>H47*$C$31*$C$17/$C$29</x:f>
        <x:v>60724.444176000005</x:v>
      </x:c>
      <x:c r="I54" s="4" t="n">
        <x:f>I47*$C$31*$C$17/$C$29</x:f>
        <x:v>61938.93305951999</x:v>
      </x:c>
      <x:c r="J54" s="4" t="n">
        <x:f>J47*$C$31*$C$17/$C$29</x:f>
        <x:v>63177.71172071039</x:v>
      </x:c>
      <x:c r="K54" s="4" t="n">
        <x:f>K47*$C$31*$C$17/$C$29</x:f>
        <x:v>64441.2659551246</x:v>
      </x:c>
      <x:c r="L54" s="4" t="n">
        <x:f>L47*$C$31*$C$17/$C$29</x:f>
        <x:v>65730.09127422709</x:v>
      </x:c>
      <x:c r="M54" s="4" t="n">
        <x:f>M47*$C$31*$C$17/$C$29</x:f>
        <x:v>67044.69309971163</x:v>
      </x:c>
      <x:c r="N54" s="4" t="n">
        <x:f>N47*$C$31*$C$17/$C$29</x:f>
        <x:v>68385.58696170585</x:v>
      </x:c>
    </x:row>
    <x:row r="55" ht="31" customHeight="1">
      <x:c r="A55" s="10" t="str">
        <x:v>Supplier payables</x:v>
      </x:c>
      <x:c r="B55" s="4"/>
      <x:c r="C55" s="4" t="n">
        <x:f>C47*$C$32*$C$18/$C$29</x:f>
        <x:v>256666.66666666666</x:v>
      </x:c>
      <x:c r="D55" s="4" t="n">
        <x:f>D47*$C$32*$C$18/$C$29</x:f>
        <x:v>261800</x:v>
      </x:c>
      <x:c r="E55" s="4" t="n">
        <x:f>E47*$C$32*$C$18/$C$29</x:f>
        <x:v>267036</x:v>
      </x:c>
      <x:c r="F55" s="4" t="n">
        <x:f>F47*$C$32*$C$18/$C$29</x:f>
        <x:v>272376.72000000003</x:v>
      </x:c>
      <x:c r="G55" s="4" t="n">
        <x:f>G47*$C$32*$C$18/$C$29</x:f>
        <x:v>277824.2544</x:v>
      </x:c>
      <x:c r="H55" s="4" t="n">
        <x:f>H47*$C$32*$C$18/$C$29</x:f>
        <x:v>283380.739488</x:v>
      </x:c>
      <x:c r="I55" s="4" t="n">
        <x:f>I47*$C$32*$C$18/$C$29</x:f>
        <x:v>289048.3542777599</x:v>
      </x:c>
      <x:c r="J55" s="4" t="n">
        <x:f>J47*$C$32*$C$18/$C$29</x:f>
        <x:v>294829.3213633151</x:v>
      </x:c>
      <x:c r="K55" s="4" t="n">
        <x:f>K47*$C$32*$C$18/$C$29</x:f>
        <x:v>300725.9077905815</x:v>
      </x:c>
      <x:c r="L55" s="4" t="n">
        <x:f>L47*$C$32*$C$18/$C$29</x:f>
        <x:v>306740.4259463931</x:v>
      </x:c>
      <x:c r="M55" s="4" t="n">
        <x:f>M47*$C$32*$C$18/$C$29</x:f>
        <x:v>312875.23446532094</x:v>
      </x:c>
      <x:c r="N55" s="4" t="n">
        <x:f>N47*$C$32*$C$18/$C$29</x:f>
        <x:v>319132.7391546273</x:v>
      </x:c>
    </x:row>
    <x:row r="56" ht="31" customHeight="1">
      <x:c r="A56" s="23" t="str">
        <x:v>Net working capital</x:v>
      </x:c>
      <x:c r="B56" s="22"/>
      <x:c r="C56" s="22" t="n">
        <x:f>C53+C54-C55</x:f>
        <x:v>2331666.666666667</x:v>
      </x:c>
      <x:c r="D56" s="22" t="n">
        <x:f>D53+D54-D55</x:f>
        <x:v>2378300</x:v>
      </x:c>
      <x:c r="E56" s="22" t="n">
        <x:f>E53+E54-E55</x:f>
        <x:v>2425866</x:v>
      </x:c>
      <x:c r="F56" s="22" t="n">
        <x:f>F53+F54-F55</x:f>
        <x:v>2474383.32</x:v>
      </x:c>
      <x:c r="G56" s="22" t="n">
        <x:f>G53+G54-G55</x:f>
        <x:v>2523870.9864000003</x:v>
      </x:c>
      <x:c r="H56" s="22" t="n">
        <x:f>H53+H54-H55</x:f>
        <x:v>2574348.4061280005</x:v>
      </x:c>
      <x:c r="I56" s="22" t="n">
        <x:f>I53+I54-I55</x:f>
        <x:v>2625835.37425056</x:v>
      </x:c>
      <x:c r="J56" s="22" t="n">
        <x:f>J53+J54-J55</x:f>
        <x:v>2678352.081735571</x:v>
      </x:c>
      <x:c r="K56" s="22" t="n">
        <x:f>K53+K54-K55</x:f>
        <x:v>2731919.123370283</x:v>
      </x:c>
      <x:c r="L56" s="22" t="n">
        <x:f>L53+L54-L55</x:f>
        <x:v>2786557.505837688</x:v>
      </x:c>
      <x:c r="M56" s="22" t="n">
        <x:f>M53+M54-M55</x:f>
        <x:v>2842288.655954442</x:v>
      </x:c>
      <x:c r="N56" s="22" t="n">
        <x:f>N53+N54-N55</x:f>
        <x:v>2899134.4290735302</x:v>
      </x:c>
    </x:row>
    <x:row r="57" ht="31" customHeight="1">
      <x:c r="A57" s="10" t="str">
        <x:v>Increase in working capital</x:v>
      </x:c>
      <x:c r="B57" s="4"/>
      <x:c r="C57" s="4" t="n">
        <x:f>C56</x:f>
        <x:v>2331666.666666667</x:v>
      </x:c>
      <x:c r="D57" s="4" t="n">
        <x:f>D56-C56</x:f>
        <x:v>46633.33333333302</x:v>
      </x:c>
      <x:c r="E57" s="4" t="n">
        <x:f>E56-D56</x:f>
        <x:v>47566</x:v>
      </x:c>
      <x:c r="F57" s="4" t="n">
        <x:f>F56-E56</x:f>
        <x:v>48517.31999999983</x:v>
      </x:c>
      <x:c r="G57" s="4" t="n">
        <x:f>G56-F56</x:f>
        <x:v>49487.66640000045</x:v>
      </x:c>
      <x:c r="H57" s="4" t="n">
        <x:f>H56-G56</x:f>
        <x:v>50477.41972800018</x:v>
      </x:c>
      <x:c r="I57" s="4" t="n">
        <x:f>I56-H56</x:f>
        <x:v>51486.9681225596</x:v>
      </x:c>
      <x:c r="J57" s="4" t="n">
        <x:f>J56-I56</x:f>
        <x:v>52516.70748501085</x:v>
      </x:c>
      <x:c r="K57" s="4" t="n">
        <x:f>K56-J56</x:f>
        <x:v>53567.0416347119</x:v>
      </x:c>
      <x:c r="L57" s="4" t="n">
        <x:f>L56-K56</x:f>
        <x:v>54638.382467405405</x:v>
      </x:c>
      <x:c r="M57" s="4" t="n">
        <x:f>M56-L56</x:f>
        <x:v>55731.150116753764</x:v>
      </x:c>
      <x:c r="N57" s="4" t="n">
        <x:f>N56-M56</x:f>
        <x:v>56845.77311908826</x:v>
      </x:c>
    </x:row>
    <x:row r="58" ht="31" customHeight="1">
      <x:c r="A58" s="10" t="str">
        <x:v>Opening debt</x:v>
      </x:c>
      <x:c r="B58" s="4"/>
      <x:c r="C58" s="4" t="n">
        <x:f>$C$19</x:f>
        <x:v>3000000</x:v>
      </x:c>
      <x:c r="D58" s="4" t="n">
        <x:f>C61</x:f>
        <x:v>2950000</x:v>
      </x:c>
      <x:c r="E58" s="4" t="n">
        <x:f>D61</x:f>
        <x:v>2900000</x:v>
      </x:c>
      <x:c r="F58" s="4" t="n">
        <x:f>E61</x:f>
        <x:v>2850000</x:v>
      </x:c>
      <x:c r="G58" s="4" t="n">
        <x:f>F61</x:f>
        <x:v>2800000</x:v>
      </x:c>
      <x:c r="H58" s="4" t="n">
        <x:f>G61</x:f>
        <x:v>2750000</x:v>
      </x:c>
      <x:c r="I58" s="4" t="n">
        <x:f>H61</x:f>
        <x:v>2700000</x:v>
      </x:c>
      <x:c r="J58" s="4" t="n">
        <x:f>I61</x:f>
        <x:v>2650000</x:v>
      </x:c>
      <x:c r="K58" s="4" t="n">
        <x:f>J61</x:f>
        <x:v>2600000</x:v>
      </x:c>
      <x:c r="L58" s="4" t="n">
        <x:f>K61</x:f>
        <x:v>2550000</x:v>
      </x:c>
      <x:c r="M58" s="4" t="n">
        <x:f>L61</x:f>
        <x:v>2500000</x:v>
      </x:c>
      <x:c r="N58" s="4" t="n">
        <x:f>M61</x:f>
        <x:v>2450000</x:v>
      </x:c>
    </x:row>
    <x:row r="59" ht="31" customHeight="1">
      <x:c r="A59" s="10" t="str">
        <x:v>Interest cash</x:v>
      </x:c>
      <x:c r="B59" s="4"/>
      <x:c r="C59" s="4" t="n">
        <x:f>C58*$C$20/$C$30</x:f>
        <x:v>30000</x:v>
      </x:c>
      <x:c r="D59" s="4" t="n">
        <x:f>D58*$C$20/$C$30</x:f>
        <x:v>29500</x:v>
      </x:c>
      <x:c r="E59" s="4" t="n">
        <x:f>E58*$C$20/$C$30</x:f>
        <x:v>29000</x:v>
      </x:c>
      <x:c r="F59" s="4" t="n">
        <x:f>F58*$C$20/$C$30</x:f>
        <x:v>28500</x:v>
      </x:c>
      <x:c r="G59" s="4" t="n">
        <x:f>G58*$C$20/$C$30</x:f>
        <x:v>28000</x:v>
      </x:c>
      <x:c r="H59" s="4" t="n">
        <x:f>H58*$C$20/$C$30</x:f>
        <x:v>27500</x:v>
      </x:c>
      <x:c r="I59" s="4" t="n">
        <x:f>I58*$C$20/$C$30</x:f>
        <x:v>27000</x:v>
      </x:c>
      <x:c r="J59" s="4" t="n">
        <x:f>J58*$C$20/$C$30</x:f>
        <x:v>26500</x:v>
      </x:c>
      <x:c r="K59" s="4" t="n">
        <x:f>K58*$C$20/$C$30</x:f>
        <x:v>26000</x:v>
      </x:c>
      <x:c r="L59" s="4" t="n">
        <x:f>L58*$C$20/$C$30</x:f>
        <x:v>25500</x:v>
      </x:c>
      <x:c r="M59" s="4" t="n">
        <x:f>M58*$C$20/$C$30</x:f>
        <x:v>25000</x:v>
      </x:c>
      <x:c r="N59" s="4" t="n">
        <x:f>N58*$C$20/$C$30</x:f>
        <x:v>24500</x:v>
      </x:c>
    </x:row>
    <x:row r="60" ht="31" customHeight="1">
      <x:c r="A60" s="10" t="str">
        <x:v>Principal repayment</x:v>
      </x:c>
      <x:c r="B60" s="4"/>
      <x:c r="C60" s="4" t="n">
        <x:f>MIN(C58,$C$19/$C$21)</x:f>
        <x:v>50000</x:v>
      </x:c>
      <x:c r="D60" s="4" t="n">
        <x:f>MIN(D58,$C$19/$C$21)</x:f>
        <x:v>50000</x:v>
      </x:c>
      <x:c r="E60" s="4" t="n">
        <x:f>MIN(E58,$C$19/$C$21)</x:f>
        <x:v>50000</x:v>
      </x:c>
      <x:c r="F60" s="4" t="n">
        <x:f>MIN(F58,$C$19/$C$21)</x:f>
        <x:v>50000</x:v>
      </x:c>
      <x:c r="G60" s="4" t="n">
        <x:f>MIN(G58,$C$19/$C$21)</x:f>
        <x:v>50000</x:v>
      </x:c>
      <x:c r="H60" s="4" t="n">
        <x:f>MIN(H58,$C$19/$C$21)</x:f>
        <x:v>50000</x:v>
      </x:c>
      <x:c r="I60" s="4" t="n">
        <x:f>MIN(I58,$C$19/$C$21)</x:f>
        <x:v>50000</x:v>
      </x:c>
      <x:c r="J60" s="4" t="n">
        <x:f>MIN(J58,$C$19/$C$21)</x:f>
        <x:v>50000</x:v>
      </x:c>
      <x:c r="K60" s="4" t="n">
        <x:f>MIN(K58,$C$19/$C$21)</x:f>
        <x:v>50000</x:v>
      </x:c>
      <x:c r="L60" s="4" t="n">
        <x:f>MIN(L58,$C$19/$C$21)</x:f>
        <x:v>50000</x:v>
      </x:c>
      <x:c r="M60" s="4" t="n">
        <x:f>MIN(M58,$C$19/$C$21)</x:f>
        <x:v>50000</x:v>
      </x:c>
      <x:c r="N60" s="4" t="n">
        <x:f>MIN(N58,$C$19/$C$21)</x:f>
        <x:v>50000</x:v>
      </x:c>
    </x:row>
    <x:row r="61" ht="31" customHeight="1">
      <x:c r="A61" s="10" t="str">
        <x:v>Closing debt</x:v>
      </x:c>
      <x:c r="B61" s="4"/>
      <x:c r="C61" s="4" t="n">
        <x:f>C58-C60</x:f>
        <x:v>2950000</x:v>
      </x:c>
      <x:c r="D61" s="4" t="n">
        <x:f>D58-D60</x:f>
        <x:v>2900000</x:v>
      </x:c>
      <x:c r="E61" s="4" t="n">
        <x:f>E58-E60</x:f>
        <x:v>2850000</x:v>
      </x:c>
      <x:c r="F61" s="4" t="n">
        <x:f>F58-F60</x:f>
        <x:v>2800000</x:v>
      </x:c>
      <x:c r="G61" s="4" t="n">
        <x:f>G58-G60</x:f>
        <x:v>2750000</x:v>
      </x:c>
      <x:c r="H61" s="4" t="n">
        <x:f>H58-H60</x:f>
        <x:v>2700000</x:v>
      </x:c>
      <x:c r="I61" s="4" t="n">
        <x:f>I58-I60</x:f>
        <x:v>2650000</x:v>
      </x:c>
      <x:c r="J61" s="4" t="n">
        <x:f>J58-J60</x:f>
        <x:v>2600000</x:v>
      </x:c>
      <x:c r="K61" s="4" t="n">
        <x:f>K58-K60</x:f>
        <x:v>2550000</x:v>
      </x:c>
      <x:c r="L61" s="4" t="n">
        <x:f>L58-L60</x:f>
        <x:v>2500000</x:v>
      </x:c>
      <x:c r="M61" s="4" t="n">
        <x:f>M58-M60</x:f>
        <x:v>2450000</x:v>
      </x:c>
      <x:c r="N61" s="4" t="n">
        <x:f>N58-N60</x:f>
        <x:v>2400000</x:v>
      </x:c>
    </x:row>
    <x:row r="62" ht="31" customHeight="1">
      <x:c r="A62" s="10" t="str">
        <x:v>Maintenance capital spend</x:v>
      </x:c>
      <x:c r="B62" s="4"/>
      <x:c r="C62" s="4" t="n">
        <x:f>$C$22</x:f>
        <x:v>12000</x:v>
      </x:c>
      <x:c r="D62" s="4" t="n">
        <x:f>$C$22</x:f>
        <x:v>12000</x:v>
      </x:c>
      <x:c r="E62" s="4" t="n">
        <x:f>$C$22</x:f>
        <x:v>12000</x:v>
      </x:c>
      <x:c r="F62" s="4" t="n">
        <x:f>$C$22</x:f>
        <x:v>12000</x:v>
      </x:c>
      <x:c r="G62" s="4" t="n">
        <x:f>$C$22</x:f>
        <x:v>12000</x:v>
      </x:c>
      <x:c r="H62" s="4" t="n">
        <x:f>$C$22</x:f>
        <x:v>12000</x:v>
      </x:c>
      <x:c r="I62" s="4" t="n">
        <x:f>$C$22</x:f>
        <x:v>12000</x:v>
      </x:c>
      <x:c r="J62" s="4" t="n">
        <x:f>$C$22</x:f>
        <x:v>12000</x:v>
      </x:c>
      <x:c r="K62" s="4" t="n">
        <x:f>$C$22</x:f>
        <x:v>12000</x:v>
      </x:c>
      <x:c r="L62" s="4" t="n">
        <x:f>$C$22</x:f>
        <x:v>12000</x:v>
      </x:c>
      <x:c r="M62" s="4" t="n">
        <x:f>$C$22</x:f>
        <x:v>12000</x:v>
      </x:c>
      <x:c r="N62" s="4" t="n">
        <x:f>$C$22</x:f>
        <x:v>12000</x:v>
      </x:c>
    </x:row>
    <x:row r="63" ht="31" customHeight="1">
      <x:c r="A63" s="10" t="str">
        <x:v>Income-tax cash input</x:v>
      </x:c>
      <x:c r="B63" s="4"/>
      <x:c r="C63" s="4" t="n">
        <x:f>$C$23</x:f>
        <x:v>0</x:v>
      </x:c>
      <x:c r="D63" s="4" t="n">
        <x:f>$C$23</x:f>
        <x:v>0</x:v>
      </x:c>
      <x:c r="E63" s="4" t="n">
        <x:f>$C$23</x:f>
        <x:v>0</x:v>
      </x:c>
      <x:c r="F63" s="4" t="n">
        <x:f>$C$23</x:f>
        <x:v>0</x:v>
      </x:c>
      <x:c r="G63" s="4" t="n">
        <x:f>$C$23</x:f>
        <x:v>0</x:v>
      </x:c>
      <x:c r="H63" s="4" t="n">
        <x:f>$C$23</x:f>
        <x:v>0</x:v>
      </x:c>
      <x:c r="I63" s="4" t="n">
        <x:f>$C$23</x:f>
        <x:v>0</x:v>
      </x:c>
      <x:c r="J63" s="4" t="n">
        <x:f>$C$23</x:f>
        <x:v>0</x:v>
      </x:c>
      <x:c r="K63" s="4" t="n">
        <x:f>$C$23</x:f>
        <x:v>0</x:v>
      </x:c>
      <x:c r="L63" s="4" t="n">
        <x:f>$C$23</x:f>
        <x:v>0</x:v>
      </x:c>
      <x:c r="M63" s="4" t="n">
        <x:f>$C$23</x:f>
        <x:v>0</x:v>
      </x:c>
      <x:c r="N63" s="4" t="n">
        <x:f>$C$23</x:f>
        <x:v>0</x:v>
      </x:c>
    </x:row>
    <x:row r="64" ht="31" customHeight="1">
      <x:c r="A64" s="10" t="str">
        <x:v>Net GST cash bridge input</x:v>
      </x:c>
      <x:c r="B64" s="4"/>
      <x:c r="C64" s="4" t="n">
        <x:f>$C$24</x:f>
        <x:v>0</x:v>
      </x:c>
      <x:c r="D64" s="4" t="n">
        <x:f>$C$24</x:f>
        <x:v>0</x:v>
      </x:c>
      <x:c r="E64" s="4" t="n">
        <x:f>$C$24</x:f>
        <x:v>0</x:v>
      </x:c>
      <x:c r="F64" s="4" t="n">
        <x:f>$C$24</x:f>
        <x:v>0</x:v>
      </x:c>
      <x:c r="G64" s="4" t="n">
        <x:f>$C$24</x:f>
        <x:v>0</x:v>
      </x:c>
      <x:c r="H64" s="4" t="n">
        <x:f>$C$24</x:f>
        <x:v>0</x:v>
      </x:c>
      <x:c r="I64" s="4" t="n">
        <x:f>$C$24</x:f>
        <x:v>0</x:v>
      </x:c>
      <x:c r="J64" s="4" t="n">
        <x:f>$C$24</x:f>
        <x:v>0</x:v>
      </x:c>
      <x:c r="K64" s="4" t="n">
        <x:f>$C$24</x:f>
        <x:v>0</x:v>
      </x:c>
      <x:c r="L64" s="4" t="n">
        <x:f>$C$24</x:f>
        <x:v>0</x:v>
      </x:c>
      <x:c r="M64" s="4" t="n">
        <x:f>$C$24</x:f>
        <x:v>0</x:v>
      </x:c>
      <x:c r="N64" s="4" t="n">
        <x:f>$C$24</x:f>
        <x:v>0</x:v>
      </x:c>
    </x:row>
    <x:row r="65" ht="31" customHeight="1">
      <x:c r="A65" s="10" t="str">
        <x:v>Owner drawings</x:v>
      </x:c>
      <x:c r="B65" s="4"/>
      <x:c r="C65" s="4" t="n">
        <x:f>$C$25</x:f>
        <x:v>0</x:v>
      </x:c>
      <x:c r="D65" s="4" t="n">
        <x:f>$C$25</x:f>
        <x:v>0</x:v>
      </x:c>
      <x:c r="E65" s="4" t="n">
        <x:f>$C$25</x:f>
        <x:v>0</x:v>
      </x:c>
      <x:c r="F65" s="4" t="n">
        <x:f>$C$25</x:f>
        <x:v>0</x:v>
      </x:c>
      <x:c r="G65" s="4" t="n">
        <x:f>$C$25</x:f>
        <x:v>0</x:v>
      </x:c>
      <x:c r="H65" s="4" t="n">
        <x:f>$C$25</x:f>
        <x:v>0</x:v>
      </x:c>
      <x:c r="I65" s="4" t="n">
        <x:f>$C$25</x:f>
        <x:v>0</x:v>
      </x:c>
      <x:c r="J65" s="4" t="n">
        <x:f>$C$25</x:f>
        <x:v>0</x:v>
      </x:c>
      <x:c r="K65" s="4" t="n">
        <x:f>$C$25</x:f>
        <x:v>0</x:v>
      </x:c>
      <x:c r="L65" s="4" t="n">
        <x:f>$C$25</x:f>
        <x:v>0</x:v>
      </x:c>
      <x:c r="M65" s="4" t="n">
        <x:f>$C$25</x:f>
        <x:v>0</x:v>
      </x:c>
      <x:c r="N65" s="4" t="n">
        <x:f>$C$25</x:f>
        <x:v>0</x:v>
      </x:c>
    </x:row>
    <x:row r="66" ht="31" customHeight="1">
      <x:c r="A66" s="23" t="str">
        <x:v>Net cash movement</x:v>
      </x:c>
      <x:c r="B66" s="22"/>
      <x:c r="C66" s="22" t="n">
        <x:f>C50-C57-SUM(C59:C60)-SUM(C62:C65)</x:f>
        <x:v>-1963666.666666667</x:v>
      </x:c>
      <x:c r="D66" s="22" t="n">
        <x:f>D50-D57-SUM(D59:D60)-SUM(D62:D65)</x:f>
        <x:v>346196.6666666671</x:v>
      </x:c>
      <x:c r="E66" s="22" t="n">
        <x:f>E50-E57-SUM(E59:E60)-SUM(E62:E65)</x:f>
        <x:v>370625.9900000002</x:v>
      </x:c>
      <x:c r="F66" s="22" t="n">
        <x:f>F50-F57-SUM(F59:F60)-SUM(F62:F65)</x:f>
        <x:v>395579.4259700002</x:v>
      </x:c>
      <x:c r="G66" s="22" t="n">
        <x:f>G50-G57-SUM(G59:G60)-SUM(G62:G65)</x:f>
        <x:v>421067.59340790974</x:v>
      </x:c>
      <x:c r="H66" s="22" t="n">
        <x:f>H50-H57-SUM(H59:H60)-SUM(H62:H65)</x:f>
        <x:v>447101.3239313342</x:v>
      </x:c>
      <x:c r="I66" s="22" t="n">
        <x:f>I50-I57-SUM(I59:I60)-SUM(I62:I65)</x:f>
        <x:v>473691.66620119277</x:v>
      </x:c>
      <x:c r="J66" s="22" t="n">
        <x:f>J50-J57-SUM(J59:J60)-SUM(J62:J65)</x:f>
        <x:v>500849.8902638216</x:v>
      </x:c>
      <x:c r="K66" s="22" t="n">
        <x:f>K50-K57-SUM(K59:K60)-SUM(K62:K65)</x:f>
        <x:v>528587.4919799184</x:v>
      </x:c>
      <x:c r="L66" s="22" t="n">
        <x:f>L50-L57-SUM(L59:L60)-SUM(L62:L65)</x:f>
        <x:v>556916.1975420706</x:v>
      </x:c>
      <x:c r="M66" s="22" t="n">
        <x:f>M50-M57-SUM(M59:M60)-SUM(M62:M65)</x:f>
        <x:v>585847.9680826331</x:v>
      </x:c>
      <x:c r="N66" s="22" t="n">
        <x:f>N50-N57-SUM(N59:N60)-SUM(N62:N65)</x:f>
        <x:v>615395.004373776</x:v>
      </x:c>
    </x:row>
    <x:row r="67" ht="31" customHeight="1">
      <x:c r="A67" s="10" t="str">
        <x:v>Opening cash</x:v>
      </x:c>
      <x:c r="B67" s="4"/>
      <x:c r="C67" s="4" t="n">
        <x:f>$C$15</x:f>
        <x:v>2200000</x:v>
      </x:c>
      <x:c r="D67" s="4" t="n">
        <x:f>C68</x:f>
        <x:v>236333.33333333302</x:v>
      </x:c>
      <x:c r="E67" s="4" t="n">
        <x:f>D68</x:f>
        <x:v>582530.0000000001</x:v>
      </x:c>
      <x:c r="F67" s="4" t="n">
        <x:f>E68</x:f>
        <x:v>953155.9900000003</x:v>
      </x:c>
      <x:c r="G67" s="4" t="n">
        <x:f>F68</x:f>
        <x:v>1348735.4159700004</x:v>
      </x:c>
      <x:c r="H67" s="4" t="n">
        <x:f>G68</x:f>
        <x:v>1769803.0093779103</x:v>
      </x:c>
      <x:c r="I67" s="4" t="n">
        <x:f>H68</x:f>
        <x:v>2216904.3333092444</x:v>
      </x:c>
      <x:c r="J67" s="4" t="n">
        <x:f>I68</x:f>
        <x:v>2690595.9995104373</x:v>
      </x:c>
      <x:c r="K67" s="4" t="n">
        <x:f>J68</x:f>
        <x:v>3191445.8897742587</x:v>
      </x:c>
      <x:c r="L67" s="4" t="n">
        <x:f>K68</x:f>
        <x:v>3720033.381754177</x:v>
      </x:c>
      <x:c r="M67" s="4" t="n">
        <x:f>L68</x:f>
        <x:v>4276949.579296248</x:v>
      </x:c>
      <x:c r="N67" s="4" t="n">
        <x:f>M68</x:f>
        <x:v>4862797.547378881</x:v>
      </x:c>
    </x:row>
    <x:row r="68" ht="31" customHeight="1">
      <x:c r="A68" s="23" t="str">
        <x:v>Closing cash</x:v>
      </x:c>
      <x:c r="B68" s="22"/>
      <x:c r="C68" s="22" t="n">
        <x:f>C67+C66</x:f>
        <x:v>236333.33333333302</x:v>
      </x:c>
      <x:c r="D68" s="22" t="n">
        <x:f>D67+D66</x:f>
        <x:v>582530.0000000001</x:v>
      </x:c>
      <x:c r="E68" s="22" t="n">
        <x:f>E67+E66</x:f>
        <x:v>953155.9900000003</x:v>
      </x:c>
      <x:c r="F68" s="22" t="n">
        <x:f>F67+F66</x:f>
        <x:v>1348735.4159700004</x:v>
      </x:c>
      <x:c r="G68" s="22" t="n">
        <x:f>G67+G66</x:f>
        <x:v>1769803.0093779103</x:v>
      </x:c>
      <x:c r="H68" s="22" t="n">
        <x:f>H67+H66</x:f>
        <x:v>2216904.3333092444</x:v>
      </x:c>
      <x:c r="I68" s="22" t="n">
        <x:f>I67+I66</x:f>
        <x:v>2690595.9995104373</x:v>
      </x:c>
      <x:c r="J68" s="22" t="n">
        <x:f>J67+J66</x:f>
        <x:v>3191445.8897742587</x:v>
      </x:c>
      <x:c r="K68" s="22" t="n">
        <x:f>K67+K66</x:f>
        <x:v>3720033.381754177</x:v>
      </x:c>
      <x:c r="L68" s="22" t="n">
        <x:f>L67+L66</x:f>
        <x:v>4276949.579296248</x:v>
      </x:c>
      <x:c r="M68" s="22" t="n">
        <x:f>M67+M66</x:f>
        <x:v>4862797.547378881</x:v>
      </x:c>
      <x:c r="N68" s="22" t="n">
        <x:f>N67+N66</x:f>
        <x:v>5478192.551752657</x:v>
      </x:c>
    </x:row>
    <x:row r="69" ht="31" customHeight="1">
      <x:c r="A69" s="10" t="str">
        <x:v>Cash-buffer shortfall</x:v>
      </x:c>
      <x:c r="B69" s="4"/>
      <x:c r="C69" s="4" t="n">
        <x:f>MAX(0,$C$15-C68)</x:f>
        <x:v>1963666.666666667</x:v>
      </x:c>
      <x:c r="D69" s="4" t="n">
        <x:f>MAX(0,$C$15-D68)</x:f>
        <x:v>1617470</x:v>
      </x:c>
      <x:c r="E69" s="4" t="n">
        <x:f>MAX(0,$C$15-E68)</x:f>
        <x:v>1246844.0099999998</x:v>
      </x:c>
      <x:c r="F69" s="4" t="n">
        <x:f>MAX(0,$C$15-F68)</x:f>
        <x:v>851264.5840299996</x:v>
      </x:c>
      <x:c r="G69" s="4" t="n">
        <x:f>MAX(0,$C$15-G68)</x:f>
        <x:v>430196.9906220897</x:v>
      </x:c>
      <x:c r="H69" s="4" t="n">
        <x:f>MAX(0,$C$15-H68)</x:f>
        <x:v>0</x:v>
      </x:c>
      <x:c r="I69" s="4" t="n">
        <x:f>MAX(0,$C$15-I68)</x:f>
        <x:v>0</x:v>
      </x:c>
      <x:c r="J69" s="4" t="n">
        <x:f>MAX(0,$C$15-J68)</x:f>
        <x:v>0</x:v>
      </x:c>
      <x:c r="K69" s="4" t="n">
        <x:f>MAX(0,$C$15-K68)</x:f>
        <x:v>0</x:v>
      </x:c>
      <x:c r="L69" s="4" t="n">
        <x:f>MAX(0,$C$15-L68)</x:f>
        <x:v>0</x:v>
      </x:c>
      <x:c r="M69" s="4" t="n">
        <x:f>MAX(0,$C$15-M68)</x:f>
        <x:v>0</x:v>
      </x:c>
      <x:c r="N69" s="4" t="n">
        <x:f>MAX(0,$C$15-N68)</x:f>
        <x:v>0</x:v>
      </x:c>
    </x:row>
    <x:row r="70" ht="31" customHeight="1">
      <x:c r="A70" s="10" t="str">
        <x:v>EBITDA / debt-service proxy</x:v>
      </x:c>
      <x:c r="B70" s="4"/>
      <x:c r="C70" s="30" t="n">
        <x:f>IF(SUM(C59:C60)&gt;0,C50/SUM(C59:C60),"No debt")</x:f>
        <x:v>5.75</x:v>
      </x:c>
      <x:c r="D70" s="30" t="n">
        <x:f>IF(SUM(D59:D60)&gt;0,D50/SUM(D59:D60),"No debt")</x:f>
        <x:v>6.092201257861636</x:v>
      </x:c>
      <x:c r="E70" s="30" t="n">
        <x:f>IF(SUM(E59:E60)&gt;0,E50/SUM(E59:E60),"No debt")</x:f>
        <x:v>6.445468227848104</x:v>
      </x:c>
      <x:c r="F70" s="30" t="n">
        <x:f>IF(SUM(F59:F60)&gt;0,F50/SUM(F59:F60),"No debt")</x:f>
        <x:v>6.810149630191083</x:v>
      </x:c>
      <x:c r="G70" s="30" t="n">
        <x:f>IF(SUM(G59:G60)&gt;0,G50/SUM(G59:G60),"No debt")</x:f>
        <x:v>7.186605894973208</x:v>
      </x:c>
      <x:c r="H70" s="30" t="n">
        <x:f>IF(SUM(H59:H60)&gt;0,H50/SUM(H59:H60),"No debt")</x:f>
        <x:v>7.575209595604314</x:v>
      </x:c>
      <x:c r="I70" s="30" t="n">
        <x:f>IF(SUM(I59:I60)&gt;0,I50/SUM(I59:I60),"No debt")</x:f>
        <x:v>7.9763459003084725</x:v>
      </x:c>
      <x:c r="J70" s="30" t="n">
        <x:f>IF(SUM(J59:J60)&gt;0,J50/SUM(J59:J60),"No debt")</x:f>
        <x:v>8.390413042468397</x:v>
      </x:c>
      <x:c r="K70" s="30" t="n">
        <x:f>IF(SUM(K59:K60)&gt;0,K50/SUM(K59:K60),"No debt")</x:f>
        <x:v>8.81782281071882</x:v>
      </x:c>
      <x:c r="L70" s="30" t="n">
        <x:f>IF(SUM(L59:L60)&gt;0,L50/SUM(L59:L60),"No debt")</x:f>
        <x:v>9.25900105972816</x:v>
      </x:c>
      <x:c r="M70" s="30" t="n">
        <x:f>IF(SUM(M59:M60)&gt;0,M50/SUM(M59:M60),"No debt")</x:f>
        <x:v>9.714388242658492</x:v>
      </x:c>
      <x:c r="N70" s="30" t="n">
        <x:f>IF(SUM(N59:N60)&gt;0,N50/SUM(N59:N60),"No debt")</x:f>
        <x:v>10.184439966347172</x:v>
      </x:c>
    </x:row>
    <x:row r="71" ht="31" customHeight="1">
      <x:c r="A71" s="10" t="str">
        <x:v>Capacity utilisation</x:v>
      </x:c>
      <x:c r="B71" s="4"/>
      <x:c r="C71" s="20" t="n">
        <x:f>IF($C$10&gt;0,C43/$C$10,0)</x:f>
        <x:v>0.625</x:v>
      </x:c>
      <x:c r="D71" s="20" t="n">
        <x:f>IF($C$10&gt;0,D43/$C$10,0)</x:f>
        <x:v>0.6375</x:v>
      </x:c>
      <x:c r="E71" s="20" t="n">
        <x:f>IF($C$10&gt;0,E43/$C$10,0)</x:f>
        <x:v>0.65025</x:v>
      </x:c>
      <x:c r="F71" s="20" t="n">
        <x:f>IF($C$10&gt;0,F43/$C$10,0)</x:f>
        <x:v>0.663255</x:v>
      </x:c>
      <x:c r="G71" s="20" t="n">
        <x:f>IF($C$10&gt;0,G43/$C$10,0)</x:f>
        <x:v>0.6765201</x:v>
      </x:c>
      <x:c r="H71" s="20" t="n">
        <x:f>IF($C$10&gt;0,H43/$C$10,0)</x:f>
        <x:v>0.6900505020000001</x:v>
      </x:c>
      <x:c r="I71" s="20" t="n">
        <x:f>IF($C$10&gt;0,I43/$C$10,0)</x:f>
        <x:v>0.70385151204</x:v>
      </x:c>
      <x:c r="J71" s="20" t="n">
        <x:f>IF($C$10&gt;0,J43/$C$10,0)</x:f>
        <x:v>0.7179285422807999</x:v>
      </x:c>
      <x:c r="K71" s="20" t="n">
        <x:f>IF($C$10&gt;0,K43/$C$10,0)</x:f>
        <x:v>0.732287113126416</x:v>
      </x:c>
      <x:c r="L71" s="20" t="n">
        <x:f>IF($C$10&gt;0,L43/$C$10,0)</x:f>
        <x:v>0.7469328553889443</x:v>
      </x:c>
      <x:c r="M71" s="20" t="n">
        <x:f>IF($C$10&gt;0,M43/$C$10,0)</x:f>
        <x:v>0.7618715124967232</x:v>
      </x:c>
      <x:c r="N71" s="20" t="n">
        <x:f>IF($C$10&gt;0,N43/$C$10,0)</x:f>
        <x:v>0.7771089427466574</x:v>
      </x:c>
    </x:row>
    <x:row r="72" ht="23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23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23" customHeight="1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</x:row>
    <x:row r="75" ht="23" customHeight="1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</x:row>
    <x:row r="76" ht="23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23" customHeight="1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</x:row>
    <x:row r="78" ht="23" customHeight="1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</x:row>
    <x:row r="79" ht="23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23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1:N1"/>
    <x:mergeCell ref="A2:N3"/>
    <x:mergeCell ref="G31:N36"/>
    <x:mergeCell ref="A40:N40"/>
  </x:mergeCells>
  <x:conditionalFormatting sqref="C68:N68">
    <x:cfRule type="cellIs" dxfId="15" priority="1" operator="lessThan">
      <x:formula>0</x:formula>
    </x:cfRule>
  </x:conditionalFormatting>
  <x:pageMargins left="0.7" right="0.7" top="0.75" bottom="0.75" header="0.3" footer="0.3"/>
  <x:legacyDrawing xmlns:r="http://schemas.openxmlformats.org/officeDocument/2006/relationships" r:id="R1117f9803c02474b"/>
</x:worksheet>
</file>

<file path=xl/worksheets/sheet1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40" hidden="0" customWidth="1"/>
    <x:col min="8" max="8" width="14" hidden="0" customWidth="1"/>
    <x:col min="9" max="9" width="14" hidden="0" customWidth="1"/>
    <x:col min="10" max="10" width="14" hidden="0" customWidth="1"/>
    <x:col min="11" max="11" width="24" hidden="0" customWidth="1"/>
    <x:col min="12" max="12" width="14" hidden="0" customWidth="1"/>
  </x:cols>
  <x:sheetData>
    <x:row r="1" ht="38" customHeight="1">
      <x:c r="A1" s="7" t="str">
        <x:v>Property | acquisition, annual holding and exit</x:v>
      </x:c>
      <x:c r="B1" s="7"/>
      <x:c r="C1" s="7"/>
      <x:c r="D1" s="7"/>
      <x:c r="E1" s="7"/>
      <x:c r="F1" s="7"/>
      <x:c r="G1" s="32"/>
      <x:c r="H1" s="7"/>
      <x:c r="I1" s="7"/>
      <x:c r="J1" s="7"/>
      <x:c r="K1" s="7"/>
      <x:c r="L1" s="7"/>
    </x:row>
    <x:row r="2" ht="23" customHeight="1">
      <x:c r="A2" s="10" t="str">
        <x:v>INR illustrative rental investment. Annual amounts are not monthly sales. Title, local approvals, tax and actual transaction costs need separate assessment. No appreciation assumed by default.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3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31" customHeight="1">
      <x:c r="A6" s="10" t="str">
        <x:v>Purchase price</x:v>
      </x:c>
      <x:c r="B6" s="10"/>
      <x:c r="C6" s="16" t="n">
        <x:v>15000000</x:v>
      </x:c>
      <x:c r="D6" s="10" t="str">
        <x:v>Negotiated amount</x:v>
      </x:c>
      <x:c r="E6" s="4"/>
      <x:c r="F6" s="4"/>
      <x:c r="G6" s="4" t="str">
        <x:v>Acquisition cash</x:v>
      </x:c>
      <x:c r="H6" s="4"/>
      <x:c r="I6" s="4"/>
      <x:c r="J6" s="4"/>
      <x:c r="K6" s="4" t="n">
        <x:f>SUM(C6:C8)</x:f>
        <x:v>16500000</x:v>
      </x:c>
      <x:c r="L6" s="4"/>
    </x:row>
    <x:row r="7" ht="31" customHeight="1">
      <x:c r="A7" s="10" t="str">
        <x:v>Acquisition charges</x:v>
      </x:c>
      <x:c r="B7" s="10"/>
      <x:c r="C7" s="16" t="n">
        <x:v>900000</x:v>
      </x:c>
      <x:c r="D7" s="10" t="str">
        <x:v>Stamp duty, fees, legal cost; not a prescribed rate</x:v>
      </x:c>
      <x:c r="E7" s="4"/>
      <x:c r="F7" s="4"/>
      <x:c r="G7" s="4" t="str">
        <x:v>Equity required</x:v>
      </x:c>
      <x:c r="H7" s="4"/>
      <x:c r="I7" s="4"/>
      <x:c r="J7" s="4"/>
      <x:c r="K7" s="4" t="n">
        <x:f>K6-C9</x:f>
        <x:v>9500000</x:v>
      </x:c>
      <x:c r="L7" s="4"/>
    </x:row>
    <x:row r="8" ht="31" customHeight="1">
      <x:c r="A8" s="10" t="str">
        <x:v>Fit-out capital expenditure</x:v>
      </x:c>
      <x:c r="B8" s="10"/>
      <x:c r="C8" s="16" t="n">
        <x:v>600000</x:v>
      </x:c>
      <x:c r="D8" s="10" t="str">
        <x:v>Initial works</x:v>
      </x:c>
      <x:c r="E8" s="4"/>
      <x:c r="F8" s="4"/>
      <x:c r="G8" s="4" t="str">
        <x:v>Monthly debt payment</x:v>
      </x:c>
      <x:c r="H8" s="4"/>
      <x:c r="I8" s="4"/>
      <x:c r="J8" s="4"/>
      <x:c r="K8" s="4" t="n">
        <x:f>IF(C10=0,C9/C11,C9*(C10/C25)/(1-(1+C10/C25)^(-C11)))</x:f>
        <x:v>62980.81690951193</x:v>
      </x:c>
      <x:c r="L8" s="4"/>
    </x:row>
    <x:row r="9" ht="31" customHeight="1">
      <x:c r="A9" s="10" t="str">
        <x:v>Acquisition loan</x:v>
      </x:c>
      <x:c r="B9" s="10"/>
      <x:c r="C9" s="16" t="n">
        <x:v>7000000</x:v>
      </x:c>
      <x:c r="D9" s="10" t="str">
        <x:v>Financing, not income</x:v>
      </x:c>
      <x:c r="E9" s="4"/>
      <x:c r="F9" s="4"/>
      <x:c r="G9" s="4" t="str">
        <x:v>Annual effective rent</x:v>
      </x:c>
      <x:c r="H9" s="4"/>
      <x:c r="I9" s="4"/>
      <x:c r="J9" s="4"/>
      <x:c r="K9" s="4" t="n">
        <x:f>C12*C13*C25</x:f>
        <x:v>918000</x:v>
      </x:c>
      <x:c r="L9" s="4"/>
    </x:row>
    <x:row r="10" ht="31" customHeight="1">
      <x:c r="A10" s="10" t="str">
        <x:v>Annual interest</x:v>
      </x:c>
      <x:c r="B10" s="10"/>
      <x:c r="C10" s="18" t="n">
        <x:v>0.09</x:v>
      </x:c>
      <x:c r="D10" s="10" t="str">
        <x:v>Illustrative only</x:v>
      </x:c>
      <x:c r="E10" s="4"/>
      <x:c r="F10" s="4"/>
      <x:c r="G10" s="4" t="str">
        <x:v>Annual operating cost</x:v>
      </x:c>
      <x:c r="H10" s="4"/>
      <x:c r="I10" s="4"/>
      <x:c r="J10" s="4"/>
      <x:c r="K10" s="4" t="n">
        <x:f>C14*C25+C15+C16</x:f>
        <x:v>296000</x:v>
      </x:c>
      <x:c r="L10" s="4"/>
    </x:row>
    <x:row r="11" ht="31" customHeight="1">
      <x:c r="A11" s="10" t="str">
        <x:v>Loan tenor months</x:v>
      </x:c>
      <x:c r="B11" s="10"/>
      <x:c r="C11" s="16" t="n">
        <x:v>240</x:v>
      </x:c>
      <x:c r="D11" s="10" t="str">
        <x:v>Monthly amortisation</x:v>
      </x:c>
      <x:c r="E11" s="4"/>
      <x:c r="F11" s="4"/>
      <x:c r="G11" s="4" t="str">
        <x:v>Net operating income</x:v>
      </x:c>
      <x:c r="H11" s="4"/>
      <x:c r="I11" s="4"/>
      <x:c r="J11" s="4"/>
      <x:c r="K11" s="4" t="n">
        <x:f>K9-K10</x:f>
        <x:v>622000</x:v>
      </x:c>
      <x:c r="L11" s="4"/>
    </x:row>
    <x:row r="12" ht="31" customHeight="1">
      <x:c r="A12" s="10" t="str">
        <x:v>Monthly scheduled rent</x:v>
      </x:c>
      <x:c r="B12" s="10"/>
      <x:c r="C12" s="16" t="n">
        <x:v>85000</x:v>
      </x:c>
      <x:c r="D12" s="10" t="str">
        <x:v>Excluding GST and tenant deposit</x:v>
      </x:c>
      <x:c r="E12" s="4"/>
      <x:c r="F12" s="4"/>
      <x:c r="G12" s="4" t="str">
        <x:v>Annual debt service</x:v>
      </x:c>
      <x:c r="H12" s="4"/>
      <x:c r="I12" s="4"/>
      <x:c r="J12" s="4"/>
      <x:c r="K12" s="4" t="n">
        <x:f>K8*C25</x:f>
        <x:v>755769.8029141432</x:v>
      </x:c>
      <x:c r="L12" s="4"/>
    </x:row>
    <x:row r="13" ht="31" customHeight="1">
      <x:c r="A13" s="10" t="str">
        <x:v>Economic occupancy</x:v>
      </x:c>
      <x:c r="B13" s="10"/>
      <x:c r="C13" s="18" t="n">
        <x:v>0.9</x:v>
      </x:c>
      <x:c r="D13" s="10" t="str">
        <x:v>Retained rent / scheduled rent</x:v>
      </x:c>
      <x:c r="E13" s="4"/>
      <x:c r="F13" s="4"/>
      <x:c r="G13" s="4" t="str">
        <x:v>Annual cash after debt/tax</x:v>
      </x:c>
      <x:c r="H13" s="4"/>
      <x:c r="I13" s="4"/>
      <x:c r="J13" s="4"/>
      <x:c r="K13" s="4" t="n">
        <x:f>K11-K12-C17</x:f>
        <x:v>-133769.8029141432</x:v>
      </x:c>
      <x:c r="L13" s="4"/>
    </x:row>
    <x:row r="14" ht="31" customHeight="1">
      <x:c r="A14" s="10" t="str">
        <x:v>Monthly operating cost</x:v>
      </x:c>
      <x:c r="B14" s="10"/>
      <x:c r="C14" s="16" t="n">
        <x:v>13000</x:v>
      </x:c>
      <x:c r="D14" s="10" t="str">
        <x:v>Property direct cash cost</x:v>
      </x:c>
      <x:c r="E14" s="4"/>
      <x:c r="F14" s="4"/>
      <x:c r="G14" s="4" t="str">
        <x:v>Net yield on acquisition</x:v>
      </x:c>
      <x:c r="H14" s="4"/>
      <x:c r="I14" s="4"/>
      <x:c r="J14" s="4"/>
      <x:c r="K14" s="20" t="n">
        <x:f>K11/K6</x:f>
        <x:v>0.037696969696969694</x:v>
      </x:c>
      <x:c r="L14" s="4"/>
    </x:row>
    <x:row r="15" ht="31" customHeight="1">
      <x:c r="A15" s="10" t="str">
        <x:v>Annual tax and insurance</x:v>
      </x:c>
      <x:c r="B15" s="10"/>
      <x:c r="C15" s="16" t="n">
        <x:v>90000</x:v>
      </x:c>
      <x:c r="D15" s="10" t="str">
        <x:v>Replace with actual bills</x:v>
      </x:c>
      <x:c r="E15" s="4"/>
      <x:c r="F15" s="4"/>
      <x:c r="G15" s="4" t="str">
        <x:v>Cash yield on equity</x:v>
      </x:c>
      <x:c r="H15" s="4"/>
      <x:c r="I15" s="4"/>
      <x:c r="J15" s="4"/>
      <x:c r="K15" s="20" t="n">
        <x:f>K13/K7</x:f>
        <x:v>-0.014081031885699284</x:v>
      </x:c>
      <x:c r="L15" s="4"/>
    </x:row>
    <x:row r="16" ht="31" customHeight="1">
      <x:c r="A16" s="10" t="str">
        <x:v>Annual repairs reserve</x:v>
      </x:c>
      <x:c r="B16" s="10"/>
      <x:c r="C16" s="16" t="n">
        <x:v>50000</x:v>
      </x:c>
      <x:c r="D16" s="10" t="str">
        <x:v>Cash planning</x:v>
      </x:c>
      <x:c r="E16" s="4"/>
      <x:c r="F16" s="4"/>
      <x:c r="G16" s="4" t="str">
        <x:v>Debt-service coverage</x:v>
      </x:c>
      <x:c r="H16" s="4"/>
      <x:c r="I16" s="4"/>
      <x:c r="J16" s="4"/>
      <x:c r="K16" s="30" t="n">
        <x:f>IF(K12&gt;0,K11/K12,"No debt")</x:f>
        <x:v>0.8230019214867471</x:v>
      </x:c>
      <x:c r="L16" s="4"/>
    </x:row>
    <x:row r="17" ht="31" customHeight="1">
      <x:c r="A17" s="10" t="str">
        <x:v>Annual income-tax cash</x:v>
      </x:c>
      <x:c r="B17" s="10"/>
      <x:c r="C17" s="16" t="n">
        <x:v>0</x:v>
      </x:c>
      <x:c r="D17" s="10" t="str">
        <x:v>REQUIRED USER INPUT; zero is not exemption</x:v>
      </x:c>
      <x:c r="E17" s="4"/>
      <x:c r="F17" s="4"/>
      <x:c r="G17" s="4" t="str">
        <x:v>Cash break-even occupancy</x:v>
      </x:c>
      <x:c r="H17" s="4"/>
      <x:c r="I17" s="4"/>
      <x:c r="J17" s="4"/>
      <x:c r="K17" s="20" t="n">
        <x:f>(K10+K12+C17)/(C12*C25)</x:f>
        <x:v>1.031146865602101</x:v>
      </x:c>
      <x:c r="L17" s="4"/>
    </x:row>
    <x:row r="18" ht="31" customHeight="1">
      <x:c r="A18" s="10" t="str">
        <x:v>Annual rent growth</x:v>
      </x:c>
      <x:c r="B18" s="10"/>
      <x:c r="C18" s="18" t="n">
        <x:v>0.05</x:v>
      </x:c>
      <x:c r="D18" s="10" t="str">
        <x:v>Scenario, not forecast</x:v>
      </x:c>
      <x:c r="E18" s="4"/>
      <x:c r="F18" s="4"/>
      <x:c r="G18" s="4" t="str">
        <x:v>Input check</x:v>
      </x:c>
      <x:c r="H18" s="4"/>
      <x:c r="I18" s="4"/>
      <x:c r="J18" s="4"/>
      <x:c r="K18" s="4" t="str">
        <x:f>IF(OR(C24&lt;&gt;5,C13&gt;1,C13&lt;0,C9&gt;=K6,C11&lt;60),"REVIEW INPUTS","OK")</x:f>
        <x:v>OK</x:v>
      </x:c>
      <x:c r="L18" s="4"/>
    </x:row>
    <x:row r="19" ht="38" customHeight="1">
      <x:c r="A19" s="10" t="str">
        <x:v>Annual cost growth</x:v>
      </x:c>
      <x:c r="B19" s="10"/>
      <x:c r="C19" s="18" t="n">
        <x:v>0.04</x:v>
      </x:c>
      <x:c r="D19" s="10" t="str">
        <x:v>Scenario, not forecast</x:v>
      </x:c>
      <x:c r="E19" s="4"/>
      <x:c r="F19" s="4"/>
      <x:c r="G19" s="4"/>
      <x:c r="H19" s="4"/>
      <x:c r="I19" s="4"/>
      <x:c r="J19" s="4"/>
      <x:c r="K19" s="4"/>
      <x:c r="L19" s="4"/>
    </x:row>
    <x:row r="20" ht="38" customHeight="1">
      <x:c r="A20" s="10" t="str">
        <x:v>Annual property price growth</x:v>
      </x:c>
      <x:c r="B20" s="10"/>
      <x:c r="C20" s="18" t="n">
        <x:v>0</x:v>
      </x:c>
      <x:c r="D20" s="10" t="str">
        <x:v>No appreciation by default</x:v>
      </x:c>
      <x:c r="E20" s="4"/>
      <x:c r="F20" s="4"/>
      <x:c r="G20" s="4"/>
      <x:c r="H20" s="4"/>
      <x:c r="I20" s="4"/>
      <x:c r="J20" s="4"/>
      <x:c r="K20" s="4"/>
      <x:c r="L20" s="4"/>
    </x:row>
    <x:row r="21" ht="38" customHeight="1">
      <x:c r="A21" s="10" t="str">
        <x:v>Sale cost rate</x:v>
      </x:c>
      <x:c r="B21" s="10"/>
      <x:c r="C21" s="18" t="n">
        <x:v>0.02</x:v>
      </x:c>
      <x:c r="D21" s="10" t="str">
        <x:v>Assumed transaction costs, excluding sale tax</x:v>
      </x:c>
      <x:c r="E21" s="4"/>
      <x:c r="F21" s="4"/>
      <x:c r="G21" s="4"/>
      <x:c r="H21" s="4"/>
      <x:c r="I21" s="4"/>
      <x:c r="J21" s="4"/>
      <x:c r="K21" s="4"/>
      <x:c r="L21" s="4"/>
    </x:row>
    <x:row r="22" ht="38" customHeight="1">
      <x:c r="A22" s="10" t="str">
        <x:v>Sale tax cash</x:v>
      </x:c>
      <x:c r="B22" s="10"/>
      <x:c r="C22" s="16" t="n">
        <x:v>0</x:v>
      </x:c>
      <x:c r="D22" s="10" t="str">
        <x:v>REQUIRED USER INPUT</x:v>
      </x:c>
      <x:c r="E22" s="4"/>
      <x:c r="F22" s="4"/>
      <x:c r="G22" s="4"/>
      <x:c r="H22" s="4"/>
      <x:c r="I22" s="4"/>
      <x:c r="J22" s="4"/>
      <x:c r="K22" s="4"/>
      <x:c r="L22" s="4"/>
    </x:row>
    <x:row r="23" ht="38" customHeight="1">
      <x:c r="A23" s="10" t="str">
        <x:v>Discount rate</x:v>
      </x:c>
      <x:c r="B23" s="10"/>
      <x:c r="C23" s="18" t="n">
        <x:v>0.1</x:v>
      </x:c>
      <x:c r="D23" s="10" t="str">
        <x:v>Planning hurdle, not investment advice</x:v>
      </x:c>
      <x:c r="E23" s="4"/>
      <x:c r="F23" s="4"/>
      <x:c r="G23" s="4"/>
      <x:c r="H23" s="4"/>
      <x:c r="I23" s="4"/>
      <x:c r="J23" s="4"/>
      <x:c r="K23" s="4"/>
      <x:c r="L23" s="4"/>
    </x:row>
    <x:row r="24" ht="38" customHeight="1">
      <x:c r="A24" s="10" t="str">
        <x:v>Years held</x:v>
      </x:c>
      <x:c r="B24" s="10"/>
      <x:c r="C24" s="16" t="n">
        <x:v>5</x:v>
      </x:c>
      <x:c r="D24" s="10" t="str">
        <x:v>This fixed table models 5 years; must remain 5</x:v>
      </x:c>
      <x:c r="E24" s="4"/>
      <x:c r="F24" s="4"/>
      <x:c r="G24" s="4"/>
      <x:c r="H24" s="4"/>
      <x:c r="I24" s="4"/>
      <x:c r="J24" s="4"/>
      <x:c r="K24" s="4"/>
      <x:c r="L24" s="4"/>
    </x:row>
    <x:row r="25" ht="38" customHeight="1">
      <x:c r="A25" s="10" t="str">
        <x:v>Months per year</x:v>
      </x:c>
      <x:c r="B25" s="10"/>
      <x:c r="C25" s="16" t="n">
        <x:v>12</x:v>
      </x:c>
      <x:c r="D25" s="10" t="str">
        <x:v>Annualisation</x:v>
      </x:c>
      <x:c r="E25" s="4"/>
      <x:c r="F25" s="4"/>
      <x:c r="G25" s="4"/>
      <x:c r="H25" s="4"/>
      <x:c r="I25" s="4"/>
      <x:c r="J25" s="4"/>
      <x:c r="K25" s="4"/>
      <x:c r="L25" s="4"/>
    </x:row>
    <x:row r="26" ht="23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</x:row>
    <x:row r="27" ht="23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</x:row>
    <x:row r="28" ht="23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 ht="23" customHeight="1">
      <x:c r="A30" s="4" t="str">
        <x:v>Year</x:v>
      </x:c>
      <x:c r="B30" s="4" t="str">
        <x:v>Effective rent</x:v>
      </x:c>
      <x:c r="C30" s="4" t="str">
        <x:v>Operating cost</x:v>
      </x:c>
      <x:c r="D30" s="4" t="str">
        <x:v>NOI</x:v>
      </x:c>
      <x:c r="E30" s="4" t="str">
        <x:v>Debt service</x:v>
      </x:c>
      <x:c r="F30" s="4" t="str">
        <x:v>Tax cash</x:v>
      </x:c>
      <x:c r="G30" s="4" t="str">
        <x:v>Holding cash</x:v>
      </x:c>
      <x:c r="H30" s="4" t="str">
        <x:v>Discounted cash</x:v>
      </x:c>
      <x:c r="I30" s="4"/>
      <x:c r="J30" s="4"/>
      <x:c r="K30" s="4"/>
      <x:c r="L30" s="4"/>
    </x:row>
    <x:row r="31" ht="23" customHeight="1">
      <x:c r="A31" s="4" t="n">
        <x:v>1</x:v>
      </x:c>
      <x:c r="B31" s="4" t="n">
        <x:f>$K$9*(1+$C$18)^(A31-1)</x:f>
        <x:v>918000</x:v>
      </x:c>
      <x:c r="C31" s="4" t="n">
        <x:f>$K$10*(1+$C$19)^(A31-1)</x:f>
        <x:v>296000</x:v>
      </x:c>
      <x:c r="D31" s="4" t="n">
        <x:f>B31-C31</x:f>
        <x:v>622000</x:v>
      </x:c>
      <x:c r="E31" s="4" t="n">
        <x:f>$K$12</x:f>
        <x:v>755769.8029141432</x:v>
      </x:c>
      <x:c r="F31" s="4" t="n">
        <x:f>$C$17</x:f>
        <x:v>0</x:v>
      </x:c>
      <x:c r="G31" s="4" t="n">
        <x:f>D31-E31-F31</x:f>
        <x:v>-133769.8029141432</x:v>
      </x:c>
      <x:c r="H31" s="4" t="n">
        <x:f>G31/(1+$C$23)^A31</x:f>
        <x:v>-121608.91174013016</x:v>
      </x:c>
      <x:c r="I31" s="4"/>
      <x:c r="J31" s="4"/>
      <x:c r="K31" s="4"/>
      <x:c r="L31" s="4"/>
    </x:row>
    <x:row r="32" ht="23" customHeight="1">
      <x:c r="A32" s="4" t="n">
        <x:v>2</x:v>
      </x:c>
      <x:c r="B32" s="4" t="n">
        <x:f>$K$9*(1+$C$18)^(A32-1)</x:f>
        <x:v>963900</x:v>
      </x:c>
      <x:c r="C32" s="4" t="n">
        <x:f>$K$10*(1+$C$19)^(A32-1)</x:f>
        <x:v>307840</x:v>
      </x:c>
      <x:c r="D32" s="4" t="n">
        <x:f>B32-C32</x:f>
        <x:v>656060</x:v>
      </x:c>
      <x:c r="E32" s="4" t="n">
        <x:f>$K$12</x:f>
        <x:v>755769.8029141432</x:v>
      </x:c>
      <x:c r="F32" s="4" t="n">
        <x:f>$C$17</x:f>
        <x:v>0</x:v>
      </x:c>
      <x:c r="G32" s="4" t="n">
        <x:f>D32-E32-F32</x:f>
        <x:v>-99709.80291414319</x:v>
      </x:c>
      <x:c r="H32" s="4" t="n">
        <x:f>G32/(1+$C$23)^A32</x:f>
        <x:v>-82404.79579681254</x:v>
      </x:c>
      <x:c r="I32" s="4"/>
      <x:c r="J32" s="4"/>
      <x:c r="K32" s="4"/>
      <x:c r="L32" s="4"/>
    </x:row>
    <x:row r="33" ht="23" customHeight="1">
      <x:c r="A33" s="4" t="n">
        <x:v>3</x:v>
      </x:c>
      <x:c r="B33" s="4" t="n">
        <x:f>$K$9*(1+$C$18)^(A33-1)</x:f>
        <x:v>1012095</x:v>
      </x:c>
      <x:c r="C33" s="4" t="n">
        <x:f>$K$10*(1+$C$19)^(A33-1)</x:f>
        <x:v>320153.60000000003</x:v>
      </x:c>
      <x:c r="D33" s="4" t="n">
        <x:f>B33-C33</x:f>
        <x:v>691941.3999999999</x:v>
      </x:c>
      <x:c r="E33" s="4" t="n">
        <x:f>$K$12</x:f>
        <x:v>755769.8029141432</x:v>
      </x:c>
      <x:c r="F33" s="4" t="n">
        <x:f>$C$17</x:f>
        <x:v>0</x:v>
      </x:c>
      <x:c r="G33" s="4" t="n">
        <x:f>D33-E33-F33</x:f>
        <x:v>-63828.402914143284</x:v>
      </x:c>
      <x:c r="H33" s="4" t="n">
        <x:f>G33/(1+$C$23)^A33</x:f>
        <x:v>-47955.223827305235</x:v>
      </x:c>
      <x:c r="I33" s="4"/>
      <x:c r="J33" s="4"/>
      <x:c r="K33" s="4"/>
      <x:c r="L33" s="4"/>
    </x:row>
    <x:row r="34" ht="23" customHeight="1">
      <x:c r="A34" s="4" t="n">
        <x:v>4</x:v>
      </x:c>
      <x:c r="B34" s="4" t="n">
        <x:f>$K$9*(1+$C$18)^(A34-1)</x:f>
        <x:v>1062699.75</x:v>
      </x:c>
      <x:c r="C34" s="4" t="n">
        <x:f>$K$10*(1+$C$19)^(A34-1)</x:f>
        <x:v>332959.744</x:v>
      </x:c>
      <x:c r="D34" s="4" t="n">
        <x:f>B34-C34</x:f>
        <x:v>729740.006</x:v>
      </x:c>
      <x:c r="E34" s="4" t="n">
        <x:f>$K$12</x:f>
        <x:v>755769.8029141432</x:v>
      </x:c>
      <x:c r="F34" s="4" t="n">
        <x:f>$C$17</x:f>
        <x:v>0</x:v>
      </x:c>
      <x:c r="G34" s="4" t="n">
        <x:f>D34-E34-F34</x:f>
        <x:v>-26029.79691414314</x:v>
      </x:c>
      <x:c r="H34" s="4" t="n">
        <x:f>G34/(1+$C$23)^A34</x:f>
        <x:v>-17778.701532779956</x:v>
      </x:c>
      <x:c r="I34" s="4"/>
      <x:c r="J34" s="4"/>
      <x:c r="K34" s="4"/>
      <x:c r="L34" s="4"/>
    </x:row>
    <x:row r="35" ht="23" customHeight="1">
      <x:c r="A35" s="4" t="n">
        <x:v>5</x:v>
      </x:c>
      <x:c r="B35" s="4" t="n">
        <x:f>$K$9*(1+$C$18)^(A35-1)</x:f>
        <x:v>1115834.7375</x:v>
      </x:c>
      <x:c r="C35" s="4" t="n">
        <x:f>$K$10*(1+$C$19)^(A35-1)</x:f>
        <x:v>346278.13376000006</x:v>
      </x:c>
      <x:c r="D35" s="4" t="n">
        <x:f>B35-C35</x:f>
        <x:v>769556.6037399999</x:v>
      </x:c>
      <x:c r="E35" s="4" t="n">
        <x:f>$K$12</x:f>
        <x:v>755769.8029141432</x:v>
      </x:c>
      <x:c r="F35" s="4" t="n">
        <x:f>$C$17</x:f>
        <x:v>0</x:v>
      </x:c>
      <x:c r="G35" s="4" t="n">
        <x:f>D35-E35-F35</x:f>
        <x:v>13786.800825856742</x:v>
      </x:c>
      <x:c r="H35" s="4" t="n">
        <x:f>G35/(1+$C$23)^A35</x:f>
        <x:v>8560.518609544019</x:v>
      </x:c>
      <x:c r="I35" s="4"/>
      <x:c r="J35" s="4"/>
      <x:c r="K35" s="4"/>
      <x:c r="L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 ht="23" customHeight="1">
      <x:c r="A39" s="4"/>
      <x:c r="B39" s="4"/>
      <x:c r="C39" s="4"/>
      <x:c r="D39" s="4"/>
      <x:c r="E39" s="4"/>
      <x:c r="F39" s="4"/>
      <x:c r="G39" s="4" t="str">
        <x:v>Sale price</x:v>
      </x:c>
      <x:c r="H39" s="4"/>
      <x:c r="I39" s="4"/>
      <x:c r="J39" s="4"/>
      <x:c r="K39" s="4" t="n">
        <x:f>C6*(1+C20)^C24</x:f>
        <x:v>15000000</x:v>
      </x:c>
      <x:c r="L39" s="4"/>
    </x:row>
    <x:row r="40" ht="23" customHeight="1">
      <x:c r="A40" s="4"/>
      <x:c r="B40" s="4"/>
      <x:c r="C40" s="4"/>
      <x:c r="D40" s="4"/>
      <x:c r="E40" s="4"/>
      <x:c r="F40" s="4"/>
      <x:c r="G40" s="4" t="str">
        <x:v>Sale costs</x:v>
      </x:c>
      <x:c r="H40" s="4"/>
      <x:c r="I40" s="4"/>
      <x:c r="J40" s="4"/>
      <x:c r="K40" s="4" t="n">
        <x:f>K39*C21</x:f>
        <x:v>300000</x:v>
      </x:c>
      <x:c r="L40" s="4"/>
    </x:row>
    <x:row r="41" ht="23" customHeight="1">
      <x:c r="A41" s="4"/>
      <x:c r="B41" s="4"/>
      <x:c r="C41" s="4"/>
      <x:c r="D41" s="4"/>
      <x:c r="E41" s="4"/>
      <x:c r="F41" s="4"/>
      <x:c r="G41" s="4" t="str">
        <x:v>Loan balance at exit</x:v>
      </x:c>
      <x:c r="H41" s="4"/>
      <x:c r="I41" s="4"/>
      <x:c r="J41" s="4"/>
      <x:c r="K41" s="4" t="n">
        <x:f>IF(C10=0,MAX(0,C9-K8*C24*C25),MAX(0,C9*(1+C10/C25)^(C24*C25)-K8*((1+C10/C25)^(C24*C25)-1)/(C10/C25)))</x:f>
        <x:v>6209493.430325424</x:v>
      </x:c>
      <x:c r="L41" s="4"/>
    </x:row>
    <x:row r="42" ht="23" customHeight="1">
      <x:c r="A42" s="4"/>
      <x:c r="B42" s="4"/>
      <x:c r="C42" s="4"/>
      <x:c r="D42" s="4"/>
      <x:c r="E42" s="4"/>
      <x:c r="F42" s="4"/>
      <x:c r="G42" s="4" t="str">
        <x:v>Net sale cash</x:v>
      </x:c>
      <x:c r="H42" s="4"/>
      <x:c r="I42" s="4"/>
      <x:c r="J42" s="4"/>
      <x:c r="K42" s="4" t="n">
        <x:f>K39-K40-K41-C22</x:f>
        <x:v>8490506.569674576</x:v>
      </x:c>
      <x:c r="L42" s="4"/>
    </x:row>
    <x:row r="43" ht="23" customHeight="1">
      <x:c r="A43" s="4"/>
      <x:c r="B43" s="4"/>
      <x:c r="C43" s="4"/>
      <x:c r="D43" s="4"/>
      <x:c r="E43" s="4"/>
      <x:c r="F43" s="4"/>
      <x:c r="G43" s="4" t="str">
        <x:v>Total un-discounted equity cash</x:v>
      </x:c>
      <x:c r="H43" s="4"/>
      <x:c r="I43" s="4"/>
      <x:c r="J43" s="4"/>
      <x:c r="K43" s="4" t="n">
        <x:f>SUM(G31:G35)+K42-K7</x:f>
        <x:v>-1319044.4351561405</x:v>
      </x:c>
      <x:c r="L43" s="4"/>
    </x:row>
    <x:row r="44" ht="23" customHeight="1">
      <x:c r="A44" s="4"/>
      <x:c r="B44" s="4"/>
      <x:c r="C44" s="4"/>
      <x:c r="D44" s="4"/>
      <x:c r="E44" s="4"/>
      <x:c r="F44" s="4"/>
      <x:c r="G44" s="4" t="str">
        <x:v>Equity cash-flow NPV</x:v>
      </x:c>
      <x:c r="H44" s="4"/>
      <x:c r="I44" s="4"/>
      <x:c r="J44" s="4"/>
      <x:c r="K44" s="4" t="n">
        <x:f>SUM(H31:H35)+K42/(1+C23)^C24-K7</x:f>
        <x:v>-4489250.541602699</x:v>
      </x:c>
      <x:c r="L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 ht="23" customHeight="1">
      <x:c r="A47" s="10" t="str">
        <x:v>No title, occupancy, tax benefit or sale value is guaranteed. Tenant deposits are liabilities and excluded from earnings. The model assumes unchanged loan interest. Loan principal is a financing cash flow, not a deduction from operating profit. Tax inputs are not computed. NPV depends on the selected hurdle and scenario, and is not a recommendation.</x:v>
      </x:c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0"/>
    </x:row>
    <x:row r="48" ht="23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0"/>
    </x:row>
    <x:row r="49" ht="23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0"/>
    </x:row>
    <x:row r="50" ht="23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0"/>
    </x:row>
    <x:row r="51" ht="23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0"/>
    </x:row>
    <x:row r="52" ht="23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 ht="23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 ht="23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 ht="23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 ht="23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 ht="23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 ht="23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</x:sheetData>
  <x:mergeCells>
    <x:mergeCell ref="A1:L1"/>
    <x:mergeCell ref="A2:L3"/>
    <x:mergeCell ref="A47:L51"/>
  </x:mergeCells>
  <x:pageMargins left="0.7" right="0.7" top="0.75" bottom="0.75" header="0.3" footer="0.3"/>
  <x:legacyDrawing xmlns:r="http://schemas.openxmlformats.org/officeDocument/2006/relationships" r:id="Ra3445ea417bc4ba5"/>
</x:worksheet>
</file>

<file path=xl/worksheets/sheet1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" hidden="0" customWidth="1"/>
    <x:col min="3" max="3" width="17" hidden="0" customWidth="1"/>
    <x:col min="4" max="4" width="45" hidden="0" customWidth="1"/>
    <x:col min="5" max="5" width="14" hidden="0" customWidth="1"/>
    <x:col min="6" max="6" width="14" hidden="0" customWidth="1"/>
    <x:col min="7" max="7" width="40" hidden="0" customWidth="1"/>
    <x:col min="8" max="8" width="14" hidden="0" customWidth="1"/>
    <x:col min="9" max="9" width="14" hidden="0" customWidth="1"/>
    <x:col min="10" max="10" width="14" hidden="0" customWidth="1"/>
    <x:col min="11" max="11" width="24" hidden="0" customWidth="1"/>
    <x:col min="12" max="12" width="14" hidden="0" customWidth="1"/>
  </x:cols>
  <x:sheetData>
    <x:row r="1" ht="38" customHeight="1">
      <x:c r="A1" s="7" t="str">
        <x:v>Notice response | exposure, deposits and case cash</x:v>
      </x:c>
      <x:c r="B1" s="7"/>
      <x:c r="C1" s="7"/>
      <x:c r="D1" s="7"/>
      <x:c r="E1" s="7"/>
      <x:c r="F1" s="7"/>
      <x:c r="G1" s="32"/>
      <x:c r="H1" s="7"/>
      <x:c r="I1" s="7"/>
      <x:c r="J1" s="7"/>
      <x:c r="K1" s="7"/>
      <x:c r="L1" s="7"/>
    </x:row>
    <x:row r="2" ht="23" customHeight="1">
      <x:c r="A2" s="10" t="str">
        <x:v>Illustrative case planning only, not a statutory appeal or provision calculator. No universal deadline or pre-deposit rate is asserted. An appeal does not automatically stay recovery.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ht="23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</x:row>
    <x:row r="6" ht="31" customHeight="1">
      <x:c r="A6" s="10" t="str">
        <x:v>Admitted amount</x:v>
      </x:c>
      <x:c r="B6" s="10"/>
      <x:c r="C6" s="16" t="n">
        <x:v>100000</x:v>
      </x:c>
      <x:c r="D6" s="10" t="str">
        <x:v>Separate from contested amount</x:v>
      </x:c>
      <x:c r="E6" s="4"/>
      <x:c r="F6" s="4"/>
      <x:c r="G6" s="4" t="str">
        <x:v>Total contested exposure</x:v>
      </x:c>
      <x:c r="H6" s="4"/>
      <x:c r="I6" s="4"/>
      <x:c r="J6" s="4"/>
      <x:c r="K6" s="4" t="n">
        <x:f>SUM(C7:C9)</x:f>
        <x:v>2350000</x:v>
      </x:c>
      <x:c r="L6" s="4"/>
    </x:row>
    <x:row r="7" ht="31" customHeight="1">
      <x:c r="A7" s="10" t="str">
        <x:v>Disputed principal</x:v>
      </x:c>
      <x:c r="B7" s="10"/>
      <x:c r="C7" s="16" t="n">
        <x:v>2000000</x:v>
      </x:c>
      <x:c r="D7" s="10" t="str">
        <x:v>Not business revenue</x:v>
      </x:c>
      <x:c r="E7" s="4"/>
      <x:c r="F7" s="4"/>
      <x:c r="G7" s="4" t="str">
        <x:v>Hypothetical required deposit</x:v>
      </x:c>
      <x:c r="H7" s="4"/>
      <x:c r="I7" s="4"/>
      <x:c r="J7" s="4"/>
      <x:c r="K7" s="4" t="n">
        <x:f>C7*C12</x:f>
        <x:v>200000</x:v>
      </x:c>
      <x:c r="L7" s="4"/>
    </x:row>
    <x:row r="8" ht="31" customHeight="1">
      <x:c r="A8" s="10" t="str">
        <x:v>Interest exposure</x:v>
      </x:c>
      <x:c r="B8" s="10"/>
      <x:c r="C8" s="16" t="n">
        <x:v>150000</x:v>
      </x:c>
      <x:c r="D8" s="10" t="str">
        <x:v>No statutory interest computation</x:v>
      </x:c>
      <x:c r="E8" s="4"/>
      <x:c r="F8" s="4"/>
      <x:c r="G8" s="4" t="str">
        <x:v>Additional deposit cash</x:v>
      </x:c>
      <x:c r="H8" s="4"/>
      <x:c r="I8" s="4"/>
      <x:c r="J8" s="4"/>
      <x:c r="K8" s="4" t="n">
        <x:f>MAX(0,K7-C13)</x:f>
        <x:v>200000</x:v>
      </x:c>
      <x:c r="L8" s="4"/>
    </x:row>
    <x:row r="9" ht="31" customHeight="1">
      <x:c r="A9" s="10" t="str">
        <x:v>Penalty exposure</x:v>
      </x:c>
      <x:c r="B9" s="10"/>
      <x:c r="C9" s="16" t="n">
        <x:v>200000</x:v>
      </x:c>
      <x:c r="D9" s="10" t="str">
        <x:v>Illustrative exposure</x:v>
      </x:c>
      <x:c r="E9" s="4"/>
      <x:c r="F9" s="4"/>
      <x:c r="G9" s="4" t="str">
        <x:v>Unpaid admitted amount</x:v>
      </x:c>
      <x:c r="H9" s="4"/>
      <x:c r="I9" s="4"/>
      <x:c r="J9" s="4"/>
      <x:c r="K9" s="4" t="n">
        <x:f>MAX(0,C6-C14)</x:f>
        <x:v>100000</x:v>
      </x:c>
      <x:c r="L9" s="4"/>
    </x:row>
    <x:row r="10" ht="31" customHeight="1">
      <x:c r="A10" s="10" t="str">
        <x:v>Professional fees budget</x:v>
      </x:c>
      <x:c r="B10" s="10"/>
      <x:c r="C10" s="16" t="n">
        <x:v>150000</x:v>
      </x:c>
      <x:c r="D10" s="10" t="str">
        <x:v>Budget, not a fee quote</x:v>
      </x:c>
      <x:c r="E10" s="4"/>
      <x:c r="F10" s="4"/>
      <x:c r="G10" s="4" t="str">
        <x:v>Legal and internal budget</x:v>
      </x:c>
      <x:c r="H10" s="4"/>
      <x:c r="I10" s="4"/>
      <x:c r="J10" s="4"/>
      <x:c r="K10" s="4" t="n">
        <x:f>SUM(C10:C11)</x:f>
        <x:v>250000</x:v>
      </x:c>
      <x:c r="L10" s="4"/>
    </x:row>
    <x:row r="11" ht="31" customHeight="1">
      <x:c r="A11" s="10" t="str">
        <x:v>Internal / other case cash</x:v>
      </x:c>
      <x:c r="B11" s="10"/>
      <x:c r="C11" s="16" t="n">
        <x:v>100000</x:v>
      </x:c>
      <x:c r="D11" s="10" t="str">
        <x:v>Budget</x:v>
      </x:c>
      <x:c r="E11" s="4"/>
      <x:c r="F11" s="4"/>
      <x:c r="G11" s="4" t="str">
        <x:v>Immediate planned cash need</x:v>
      </x:c>
      <x:c r="H11" s="4"/>
      <x:c r="I11" s="4"/>
      <x:c r="J11" s="4"/>
      <x:c r="K11" s="4" t="n">
        <x:f>SUM(K8:K10)</x:f>
        <x:v>550000</x:v>
      </x:c>
      <x:c r="L11" s="4"/>
    </x:row>
    <x:row r="12" ht="31" customHeight="1">
      <x:c r="A12" s="10" t="str">
        <x:v>Hypothetical deposit fraction</x:v>
      </x:c>
      <x:c r="B12" s="10"/>
      <x:c r="C12" s="18" t="n">
        <x:v>0.1</x:v>
      </x:c>
      <x:c r="D12" s="10" t="str">
        <x:v>NOT A LEGAL RATE; replace actual rule/base/cap</x:v>
      </x:c>
      <x:c r="E12" s="4"/>
      <x:c r="F12" s="4"/>
      <x:c r="G12" s="4" t="str">
        <x:v>Immediate funding gap</x:v>
      </x:c>
      <x:c r="H12" s="4"/>
      <x:c r="I12" s="4"/>
      <x:c r="J12" s="4"/>
      <x:c r="K12" s="4" t="n">
        <x:f>MAX(0,K11-C19)</x:f>
        <x:v>50000</x:v>
      </x:c>
      <x:c r="L12" s="4"/>
    </x:row>
    <x:row r="13" ht="31" customHeight="1">
      <x:c r="A13" s="10" t="str">
        <x:v>Deposit already paid</x:v>
      </x:c>
      <x:c r="B13" s="10"/>
      <x:c r="C13" s="16" t="n">
        <x:v>0</x:v>
      </x:c>
      <x:c r="D13" s="10" t="str">
        <x:v>Credit against required deposit</x:v>
      </x:c>
      <x:c r="E13" s="4"/>
      <x:c r="F13" s="4"/>
      <x:c r="G13" s="4" t="str">
        <x:v>Probability total</x:v>
      </x:c>
      <x:c r="H13" s="4"/>
      <x:c r="I13" s="4"/>
      <x:c r="J13" s="4"/>
      <x:c r="K13" s="4" t="n">
        <x:f>SUM(C15:C17)</x:f>
        <x:v>1</x:v>
      </x:c>
      <x:c r="L13" s="4"/>
    </x:row>
    <x:row r="14" ht="31" customHeight="1">
      <x:c r="A14" s="10" t="str">
        <x:v>Admitted amount already paid</x:v>
      </x:c>
      <x:c r="B14" s="10"/>
      <x:c r="C14" s="16" t="n">
        <x:v>0</x:v>
      </x:c>
      <x:c r="D14" s="10" t="str">
        <x:v>Credit against admitted amount</x:v>
      </x:c>
      <x:c r="E14" s="4"/>
      <x:c r="F14" s="4"/>
      <x:c r="G14" s="4" t="str">
        <x:v>Weighted planning loss</x:v>
      </x:c>
      <x:c r="H14" s="4"/>
      <x:c r="I14" s="4"/>
      <x:c r="J14" s="4"/>
      <x:c r="K14" s="4" t="n">
        <x:f>K6*(C16*C18+C17)</x:f>
        <x:v>940000</x:v>
      </x:c>
      <x:c r="L14" s="4"/>
    </x:row>
    <x:row r="15" ht="31" customHeight="1">
      <x:c r="A15" s="10" t="str">
        <x:v>Success probability</x:v>
      </x:c>
      <x:c r="B15" s="10"/>
      <x:c r="C15" s="18" t="n">
        <x:v>0.4</x:v>
      </x:c>
      <x:c r="D15" s="10" t="str">
        <x:v>Planning assumption, not legal forecast</x:v>
      </x:c>
      <x:c r="E15" s="4"/>
      <x:c r="F15" s="4"/>
      <x:c r="G15" s="4" t="str">
        <x:v>Input check</x:v>
      </x:c>
      <x:c r="H15" s="4"/>
      <x:c r="I15" s="4"/>
      <x:c r="J15" s="4"/>
      <x:c r="K15" s="4" t="str">
        <x:f>IF(OR(ABS(K13-1)&gt;0.00001,C12&lt;0,C12&gt;1,C18&lt;0,C18&gt;1),"REVIEW INPUTS","OK")</x:f>
        <x:v>OK</x:v>
      </x:c>
      <x:c r="L15" s="4"/>
    </x:row>
    <x:row r="16" ht="38" customHeight="1">
      <x:c r="A16" s="10" t="str">
        <x:v>Partial-loss probability</x:v>
      </x:c>
      <x:c r="B16" s="10"/>
      <x:c r="C16" s="18" t="n">
        <x:v>0.4</x:v>
      </x:c>
      <x:c r="D16" s="10" t="str">
        <x:v>Planning assumption</x:v>
      </x:c>
      <x:c r="E16" s="4"/>
      <x:c r="F16" s="4"/>
      <x:c r="G16" s="4"/>
      <x:c r="H16" s="4"/>
      <x:c r="I16" s="4"/>
      <x:c r="J16" s="4"/>
      <x:c r="K16" s="4"/>
      <x:c r="L16" s="4"/>
    </x:row>
    <x:row r="17" ht="38" customHeight="1">
      <x:c r="A17" s="10" t="str">
        <x:v>Full-loss probability</x:v>
      </x:c>
      <x:c r="B17" s="10"/>
      <x:c r="C17" s="18" t="n">
        <x:v>0.2</x:v>
      </x:c>
      <x:c r="D17" s="10" t="str">
        <x:v>Planning assumption</x:v>
      </x:c>
      <x:c r="E17" s="4"/>
      <x:c r="F17" s="4"/>
      <x:c r="G17" s="4"/>
      <x:c r="H17" s="4"/>
      <x:c r="I17" s="4"/>
      <x:c r="J17" s="4"/>
      <x:c r="K17" s="4"/>
      <x:c r="L17" s="4"/>
    </x:row>
    <x:row r="18" ht="38" customHeight="1">
      <x:c r="A18" s="10" t="str">
        <x:v>Partial-loss fraction</x:v>
      </x:c>
      <x:c r="B18" s="10"/>
      <x:c r="C18" s="18" t="n">
        <x:v>0.5</x:v>
      </x:c>
      <x:c r="D18" s="10" t="str">
        <x:v>Portion of contested exposure lost</x:v>
      </x:c>
      <x:c r="E18" s="4"/>
      <x:c r="F18" s="4"/>
      <x:c r="G18" s="4"/>
      <x:c r="H18" s="4"/>
      <x:c r="I18" s="4"/>
      <x:c r="J18" s="4"/>
      <x:c r="K18" s="4"/>
      <x:c r="L18" s="4"/>
    </x:row>
    <x:row r="19" ht="38" customHeight="1">
      <x:c r="A19" s="10" t="str">
        <x:v>Available case cash</x:v>
      </x:c>
      <x:c r="B19" s="10"/>
      <x:c r="C19" s="16" t="n">
        <x:v>500000</x:v>
      </x:c>
      <x:c r="D19" s="10" t="str">
        <x:v>Unrestricted dedicated cash</x:v>
      </x:c>
      <x:c r="E19" s="4"/>
      <x:c r="F19" s="4"/>
      <x:c r="G19" s="4"/>
      <x:c r="H19" s="4"/>
      <x:c r="I19" s="4"/>
      <x:c r="J19" s="4"/>
      <x:c r="K19" s="4"/>
      <x:c r="L19" s="4"/>
    </x:row>
    <x:row r="20" ht="23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</x:row>
    <x:row r="21" ht="23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</x:row>
    <x:row r="22" ht="23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</x:row>
    <x:row r="23" ht="23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</x:row>
    <x:row r="24" ht="23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</x:row>
    <x:row r="25" ht="23" customHeight="1">
      <x:c r="A25" s="4" t="str">
        <x:v>Outcome</x:v>
      </x:c>
      <x:c r="B25" s="4" t="str">
        <x:v>Probability</x:v>
      </x:c>
      <x:c r="C25" s="4" t="str">
        <x:v>Contested loss</x:v>
      </x:c>
      <x:c r="D25" s="4" t="str">
        <x:v>Economic case cost</x:v>
      </x:c>
      <x:c r="E25" s="4" t="str">
        <x:v>Settlement after deposit</x:v>
      </x:c>
      <x:c r="F25" s="4" t="str">
        <x:v>Deposit refund claim</x:v>
      </x:c>
      <x:c r="G25" s="4"/>
      <x:c r="H25" s="4"/>
      <x:c r="I25" s="4"/>
      <x:c r="J25" s="4"/>
      <x:c r="K25" s="4"/>
      <x:c r="L25" s="4"/>
    </x:row>
    <x:row r="26" ht="23" customHeight="1">
      <x:c r="A26" s="4" t="str">
        <x:v>Success</x:v>
      </x:c>
      <x:c r="B26" s="20" t="n">
        <x:f>C15</x:f>
        <x:v>0.4</x:v>
      </x:c>
      <x:c r="C26" s="4" t="n">
        <x:f>0</x:f>
        <x:v>0</x:v>
      </x:c>
      <x:c r="D26" s="4" t="n">
        <x:f>C6+C26+K10</x:f>
        <x:v>350000</x:v>
      </x:c>
      <x:c r="E26" s="4" t="n">
        <x:f>MAX(0,C26-K7)</x:f>
        <x:v>0</x:v>
      </x:c>
      <x:c r="F26" s="4" t="n">
        <x:f>MAX(0,K7-C26)</x:f>
        <x:v>200000</x:v>
      </x:c>
      <x:c r="G26" s="4"/>
      <x:c r="H26" s="4"/>
      <x:c r="I26" s="4"/>
      <x:c r="J26" s="4"/>
      <x:c r="K26" s="4"/>
      <x:c r="L26" s="4"/>
    </x:row>
    <x:row r="27" ht="23" customHeight="1">
      <x:c r="A27" s="4" t="str">
        <x:v>Partial loss</x:v>
      </x:c>
      <x:c r="B27" s="20" t="n">
        <x:f>C16</x:f>
        <x:v>0.4</x:v>
      </x:c>
      <x:c r="C27" s="4" t="n">
        <x:f>K6*C18</x:f>
        <x:v>1175000</x:v>
      </x:c>
      <x:c r="D27" s="4" t="n">
        <x:f>C6+C27+K10</x:f>
        <x:v>1525000</x:v>
      </x:c>
      <x:c r="E27" s="4" t="n">
        <x:f>MAX(0,C27-K7)</x:f>
        <x:v>975000</x:v>
      </x:c>
      <x:c r="F27" s="4" t="n">
        <x:f>MAX(0,K7-C27)</x:f>
        <x:v>0</x:v>
      </x:c>
      <x:c r="G27" s="4"/>
      <x:c r="H27" s="4"/>
      <x:c r="I27" s="4"/>
      <x:c r="J27" s="4"/>
      <x:c r="K27" s="4"/>
      <x:c r="L27" s="4"/>
    </x:row>
    <x:row r="28" ht="23" customHeight="1">
      <x:c r="A28" s="4" t="str">
        <x:v>Full loss</x:v>
      </x:c>
      <x:c r="B28" s="20" t="n">
        <x:f>C17</x:f>
        <x:v>0.2</x:v>
      </x:c>
      <x:c r="C28" s="4" t="n">
        <x:f>K6</x:f>
        <x:v>2350000</x:v>
      </x:c>
      <x:c r="D28" s="4" t="n">
        <x:f>C6+C28+K10</x:f>
        <x:v>2700000</x:v>
      </x:c>
      <x:c r="E28" s="4" t="n">
        <x:f>MAX(0,C28-K7)</x:f>
        <x:v>2150000</x:v>
      </x:c>
      <x:c r="F28" s="4" t="n">
        <x:f>MAX(0,K7-C28)</x:f>
        <x:v>0</x:v>
      </x:c>
      <x:c r="G28" s="4"/>
      <x:c r="H28" s="4"/>
      <x:c r="I28" s="4"/>
      <x:c r="J28" s="4"/>
      <x:c r="K28" s="4"/>
      <x:c r="L28" s="4"/>
    </x:row>
    <x:row r="29" ht="23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</x:row>
    <x:row r="30" ht="23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</x:row>
    <x:row r="31" ht="23" customHeight="1">
      <x:c r="A31" s="10" t="str">
        <x:v>A deposit is cash tied up, not an extra economic expense on top of the same final liability. Refund claims may not be available cash immediately. Actual law may use a different deposit base, percentage, cap, stage or stay requirement. Enter the competent authority, law, tax period, service evidence, response / appeal deadline calculation, actual deposit rule, paid credits and evidence owner in the case passport. Scenario-weighted planning loss is not automatically an accounting provision.</x:v>
      </x:c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0"/>
    </x:row>
    <x:row r="32" ht="23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0"/>
    </x:row>
    <x:row r="33" ht="23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0"/>
    </x:row>
    <x:row r="34" ht="23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0"/>
    </x:row>
    <x:row r="35" ht="23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0"/>
    </x:row>
    <x:row r="36" ht="23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0"/>
    </x:row>
    <x:row r="37" ht="23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0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</x:row>
    <x:row r="49" ht="23" customHeight="1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</x:row>
    <x:row r="50" ht="23" customHeight="1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</x:row>
    <x:row r="51" ht="23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</x:row>
    <x:row r="52" ht="23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</x:row>
    <x:row r="53" ht="23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</x:row>
    <x:row r="54" ht="23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</x:row>
    <x:row r="55" ht="23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</x:row>
    <x:row r="56" ht="23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</x:row>
    <x:row r="57" ht="23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</x:row>
    <x:row r="58" ht="23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</x:row>
  </x:sheetData>
  <x:mergeCells>
    <x:mergeCell ref="A1:L1"/>
    <x:mergeCell ref="A2:L3"/>
    <x:mergeCell ref="A31:L37"/>
  </x:mergeCells>
  <x:pageMargins left="0.7" right="0.7" top="0.75" bottom="0.75" header="0.3" footer="0.3"/>
  <x:legacyDrawing xmlns:r="http://schemas.openxmlformats.org/officeDocument/2006/relationships" r:id="R30c39e1e7d764ac0"/>
</x:worksheet>
</file>

<file path=xl/worksheets/sheet1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9" hidden="0" customWidth="1"/>
    <x:col min="3" max="3" width="29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8" customHeight="1">
      <x:c r="A1" s="7" t="str">
        <x:v>Finin2min | business finance and decision models</x:v>
      </x:c>
      <x:c r="B1" s="7"/>
      <x:c r="C1" s="7"/>
      <x:c r="D1" s="7"/>
      <x:c r="E1" s="7"/>
      <x:c r="F1" s="7"/>
      <x:c r="G1" s="7"/>
      <x:c r="H1" s="7"/>
      <x:c r="I1" s="7"/>
      <x:c r="J1" s="7"/>
    </x:row>
    <x:row r="2" ht="23" customHeight="1">
      <x:c r="A2" s="10" t="str">
        <x:v>18 illustrative business/situation models. INR. Open the relevant sheet, replace blue inputs and review cash, tax and legal assumptions. No input is presented as a government tariff or current market quotation.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3" ht="23" customHeight="1">
      <x:c r="A3" s="10"/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30" customHeight="1">
      <x:c r="A5" s="10" t="str">
        <x:v>Choose the actual role: agency fee vs principal revenue; technology provider vs lender.</x:v>
      </x:c>
      <x:c r="B5" s="10"/>
      <x:c r="C5" s="10"/>
      <x:c r="D5" s="10"/>
      <x:c r="E5" s="10"/>
      <x:c r="F5" s="10"/>
      <x:c r="G5" s="10"/>
      <x:c r="H5" s="10"/>
      <x:c r="I5" s="10"/>
      <x:c r="J5" s="10"/>
    </x:row>
    <x:row r="6" ht="30" customHeight="1">
      <x:c r="A6" s="10" t="str">
        <x:v>Replace capacity, price, costs, credit days, debt terms and buffers using documented evidence.</x:v>
      </x:c>
      <x:c r="B6" s="10"/>
      <x:c r="C6" s="10"/>
      <x:c r="D6" s="10"/>
      <x:c r="E6" s="10"/>
      <x:c r="F6" s="10"/>
      <x:c r="G6" s="10"/>
      <x:c r="H6" s="10"/>
      <x:c r="I6" s="10"/>
      <x:c r="J6" s="10"/>
    </x:row>
    <x:row r="7" ht="30" customHeight="1">
      <x:c r="A7" s="10" t="str">
        <x:v>Enter income-tax and net GST cash. Zero defaults do not establish exemption.</x:v>
      </x:c>
      <x:c r="B7" s="10"/>
      <x:c r="C7" s="10"/>
      <x:c r="D7" s="10"/>
      <x:c r="E7" s="10"/>
      <x:c r="F7" s="10"/>
      <x:c r="G7" s="10"/>
      <x:c r="H7" s="10"/>
      <x:c r="I7" s="10"/>
      <x:c r="J7" s="10"/>
    </x:row>
    <x:row r="8" ht="30" customHeight="1">
      <x:c r="A8" s="10" t="str">
        <x:v>Property and dispute models are dedicated; do not apply generic sales economics to them.</x:v>
      </x:c>
      <x:c r="B8" s="10"/>
      <x:c r="C8" s="10"/>
      <x:c r="D8" s="10"/>
      <x:c r="E8" s="10"/>
      <x:c r="F8" s="10"/>
      <x:c r="G8" s="10"/>
      <x:c r="H8" s="10"/>
      <x:c r="I8" s="10"/>
      <x:c r="J8" s="10"/>
    </x:row>
    <x:row r="9" ht="30" customHeight="1">
      <x:c r="A9" s="10" t="str">
        <x:v>Read model limits: new-business working capital, equal-principal loans, no full balance sheet.</x:v>
      </x:c>
      <x:c r="B9" s="10"/>
      <x:c r="C9" s="10"/>
      <x:c r="D9" s="10"/>
      <x:c r="E9" s="10"/>
      <x:c r="F9" s="10"/>
      <x:c r="G9" s="10"/>
      <x:c r="H9" s="10"/>
      <x:c r="I9" s="10"/>
      <x:c r="J9" s="10"/>
    </x:row>
    <x:row r="10" ht="30" customHeight="1">
      <x:c r="A10" s="10" t="str">
        <x:v>Source and case-review sheets distinguish national guidance from local/legal signoff.</x:v>
      </x:c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23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</x:row>
    <x:row r="13" ht="34" customHeight="1">
      <x:c r="A13" s="37" t="str">
        <x:v>ID</x:v>
      </x:c>
      <x:c r="B13" s="37" t="str">
        <x:v>Business</x:v>
      </x:c>
      <x:c r="C13" s="37" t="str">
        <x:v>Model sheet</x:v>
      </x:c>
      <x:c r="D13" s="37" t="str">
        <x:v>Base revenue</x:v>
      </x:c>
      <x:c r="E13" s="37" t="str">
        <x:v>Base EBITDA</x:v>
      </x:c>
      <x:c r="F13" s="37" t="str">
        <x:v>Year 1 revenue</x:v>
      </x:c>
      <x:c r="G13" s="37" t="str">
        <x:v>Year-end cash</x:v>
      </x:c>
      <x:c r="H13" s="4"/>
      <x:c r="I13" s="4"/>
      <x:c r="J13" s="4"/>
    </x:row>
    <x:row r="14" ht="34" customHeight="1">
      <x:c r="A14" s="10" t="n">
        <x:v>1</x:v>
      </x:c>
      <x:c r="B14" s="10" t="str">
        <x:v>Restaurant &amp; Cloud Kitchen</x:v>
      </x:c>
      <x:c r="C14" s="10" t="str">
        <x:v>01 Restaurant</x:v>
      </x:c>
      <x:c r="D14" s="34" t="n">
        <x:f>'01 Restaurant'!K6</x:f>
        <x:v>960000</x:v>
      </x:c>
      <x:c r="E14" s="34" t="n">
        <x:f>'01 Restaurant'!K10</x:f>
        <x:v>125000</x:v>
      </x:c>
      <x:c r="F14" s="34" t="n">
        <x:f>'01 Restaurant'!K22</x:f>
        <x:v>12875606.139002174</x:v>
      </x:c>
      <x:c r="G14" s="34" t="n">
        <x:f>'01 Restaurant'!K24</x:f>
        <x:v>2128786.9415256237</x:v>
      </x:c>
      <x:c r="H14" s="4"/>
      <x:c r="I14" s="4"/>
      <x:c r="J14" s="4"/>
    </x:row>
    <x:row r="15" ht="34" customHeight="1">
      <x:c r="A15" s="10" t="n">
        <x:v>2</x:v>
      </x:c>
      <x:c r="B15" s="10" t="str">
        <x:v>E-commerce &amp; D2C Brand</x:v>
      </x:c>
      <x:c r="C15" s="10" t="str">
        <x:v>02 E-commerce</x:v>
      </x:c>
      <x:c r="D15" s="34" t="n">
        <x:f>'02 E-commerce'!K6</x:f>
        <x:v>1980000</x:v>
      </x:c>
      <x:c r="E15" s="34" t="n">
        <x:f>'02 E-commerce'!K10</x:f>
        <x:v>144000</x:v>
      </x:c>
      <x:c r="F15" s="34" t="n">
        <x:f>'02 E-commerce'!K22</x:f>
        <x:v>26555937.661691982</x:v>
      </x:c>
      <x:c r="G15" s="34" t="n">
        <x:f>'02 E-commerce'!K24</x:f>
        <x:v>1582461.1934175065</x:v>
      </x:c>
      <x:c r="H15" s="4"/>
      <x:c r="I15" s="4"/>
      <x:c r="J15" s="4"/>
    </x:row>
    <x:row r="16" ht="34" customHeight="1">
      <x:c r="A16" s="10" t="n">
        <x:v>3</x:v>
      </x:c>
      <x:c r="B16" s="10" t="str">
        <x:v>Manufacturing Unit</x:v>
      </x:c>
      <x:c r="C16" s="10" t="str">
        <x:v>03 Manufacturing Unit</x:v>
      </x:c>
      <x:c r="D16" s="34" t="n">
        <x:f>'03 Manufacturing Unit'!K6</x:f>
        <x:v>3172000</x:v>
      </x:c>
      <x:c r="E16" s="34" t="n">
        <x:f>'03 Manufacturing Unit'!K10</x:f>
        <x:v>216000</x:v>
      </x:c>
      <x:c r="F16" s="34" t="n">
        <x:f>'03 Manufacturing Unit'!K22</x:f>
        <x:v>42543148.617619686</x:v>
      </x:c>
      <x:c r="G16" s="34" t="n">
        <x:f>'03 Manufacturing Unit'!K24</x:f>
        <x:v>-1759778.6031780606</x:v>
      </x:c>
      <x:c r="H16" s="4"/>
      <x:c r="I16" s="4"/>
      <x:c r="J16" s="4"/>
    </x:row>
    <x:row r="17" ht="34" customHeight="1">
      <x:c r="A17" s="10" t="n">
        <x:v>4</x:v>
      </x:c>
      <x:c r="B17" s="10" t="str">
        <x:v>Hospital &amp; Diagnostic Centre</x:v>
      </x:c>
      <x:c r="C17" s="10" t="str">
        <x:v>04 Hospital</x:v>
      </x:c>
      <x:c r="D17" s="34" t="n">
        <x:f>'04 Hospital'!K6</x:f>
        <x:v>2310000</x:v>
      </x:c>
      <x:c r="E17" s="34" t="n">
        <x:f>'04 Hospital'!K10</x:f>
        <x:v>501000</x:v>
      </x:c>
      <x:c r="F17" s="34" t="n">
        <x:f>'04 Hospital'!K22</x:f>
        <x:v>30981927.27197398</x:v>
      </x:c>
      <x:c r="G17" s="34" t="n">
        <x:f>'04 Hospital'!K24</x:f>
        <x:v>4486381.6239050785</x:v>
      </x:c>
      <x:c r="H17" s="4"/>
      <x:c r="I17" s="4"/>
      <x:c r="J17" s="4"/>
    </x:row>
    <x:row r="18" ht="34" customHeight="1">
      <x:c r="A18" s="10" t="n">
        <x:v>5</x:v>
      </x:c>
      <x:c r="B18" s="10" t="str">
        <x:v>Fintech Startup</x:v>
      </x:c>
      <x:c r="C18" s="10" t="str">
        <x:v>05 Fintech Startup</x:v>
      </x:c>
      <x:c r="D18" s="34" t="n">
        <x:f>'05 Fintech Startup'!K6</x:f>
        <x:v>910000</x:v>
      </x:c>
      <x:c r="E18" s="34" t="n">
        <x:f>'05 Fintech Startup'!K10</x:f>
        <x:v>100000</x:v>
      </x:c>
      <x:c r="F18" s="34" t="n">
        <x:f>'05 Fintech Startup'!K22</x:f>
        <x:v>12205001.652595812</x:v>
      </x:c>
      <x:c r="G18" s="34" t="n">
        <x:f>'05 Fintech Startup'!K24</x:f>
        <x:v>2227734.4850032995</x:v>
      </x:c>
      <x:c r="H18" s="4"/>
      <x:c r="I18" s="4"/>
      <x:c r="J18" s="4"/>
    </x:row>
    <x:row r="19" ht="34" customHeight="1">
      <x:c r="A19" s="10" t="n">
        <x:v>6</x:v>
      </x:c>
      <x:c r="B19" s="10" t="str">
        <x:v>Exporter &amp; Importer</x:v>
      </x:c>
      <x:c r="C19" s="10" t="str">
        <x:v>06 Exporter</x:v>
      </x:c>
      <x:c r="D19" s="34" t="n">
        <x:f>'06 Exporter'!K6</x:f>
        <x:v>15200000</x:v>
      </x:c>
      <x:c r="E19" s="34" t="n">
        <x:f>'06 Exporter'!K10</x:f>
        <x:v>1040000</x:v>
      </x:c>
      <x:c r="F19" s="34" t="n">
        <x:f>'06 Exporter'!K22</x:f>
        <x:v>203863763.86753446</x:v>
      </x:c>
      <x:c r="G19" s="34" t="n">
        <x:f>'06 Exporter'!K24</x:f>
        <x:v>-21682503.203124333</x:v>
      </x:c>
      <x:c r="H19" s="4"/>
      <x:c r="I19" s="4"/>
      <x:c r="J19" s="4"/>
    </x:row>
    <x:row r="20" ht="34" customHeight="1">
      <x:c r="A20" s="10" t="n">
        <x:v>7</x:v>
      </x:c>
      <x:c r="B20" s="10" t="str">
        <x:v>Property Purchase, Lease &amp; Sale</x:v>
      </x:c>
      <x:c r="C20" s="10" t="str">
        <x:v>07 Property</x:v>
      </x:c>
      <x:c r="D20" s="34" t="str">
        <x:v>Dedicated model</x:v>
      </x:c>
      <x:c r="E20" s="34" t="str">
        <x:v>See model</x:v>
      </x:c>
      <x:c r="F20" s="34" t="str">
        <x:v>See model</x:v>
      </x:c>
      <x:c r="G20" s="34" t="str">
        <x:v>See model</x:v>
      </x:c>
      <x:c r="H20" s="4"/>
      <x:c r="I20" s="4"/>
      <x:c r="J20" s="4"/>
    </x:row>
    <x:row r="21" ht="34" customHeight="1">
      <x:c r="A21" s="10" t="n">
        <x:v>8</x:v>
      </x:c>
      <x:c r="B21" s="10" t="str">
        <x:v>Regulatory Notice Response</x:v>
      </x:c>
      <x:c r="C21" s="10" t="str">
        <x:v>08 Notice response</x:v>
      </x:c>
      <x:c r="D21" s="34" t="str">
        <x:v>Dedicated model</x:v>
      </x:c>
      <x:c r="E21" s="34" t="str">
        <x:v>See model</x:v>
      </x:c>
      <x:c r="F21" s="34" t="str">
        <x:v>See model</x:v>
      </x:c>
      <x:c r="G21" s="34" t="str">
        <x:v>See model</x:v>
      </x:c>
      <x:c r="H21" s="4"/>
      <x:c r="I21" s="4"/>
      <x:c r="J21" s="4"/>
    </x:row>
    <x:row r="22" ht="34" customHeight="1">
      <x:c r="A22" s="10" t="n">
        <x:v>9</x:v>
      </x:c>
      <x:c r="B22" s="10" t="str">
        <x:v>Salon, Spa &amp; Beauty Studio</x:v>
      </x:c>
      <x:c r="C22" s="10" t="str">
        <x:v>09 Salon, Spa</x:v>
      </x:c>
      <x:c r="D22" s="34" t="n">
        <x:f>'09 Salon, Spa'!K6</x:f>
        <x:v>975000</x:v>
      </x:c>
      <x:c r="E22" s="34" t="n">
        <x:f>'09 Salon, Spa'!K10</x:f>
        <x:v>260400</x:v>
      </x:c>
      <x:c r="F22" s="34" t="n">
        <x:f>'09 Salon, Spa'!K22</x:f>
        <x:v>13076787.484924084</x:v>
      </x:c>
      <x:c r="G22" s="34" t="n">
        <x:f>'09 Salon, Spa'!K24</x:f>
        <x:v>4507327.057233687</x:v>
      </x:c>
      <x:c r="H22" s="4"/>
      <x:c r="I22" s="4"/>
      <x:c r="J22" s="4"/>
    </x:row>
    <x:row r="23" ht="34" customHeight="1">
      <x:c r="A23" s="10" t="n">
        <x:v>10</x:v>
      </x:c>
      <x:c r="B23" s="10" t="str">
        <x:v>Gym, Fitness &amp; Yoga Studio</x:v>
      </x:c>
      <x:c r="C23" s="10" t="str">
        <x:v>10 Gym, Fitness</x:v>
      </x:c>
      <x:c r="D23" s="34" t="n">
        <x:f>'10 Gym, Fitness'!K6</x:f>
        <x:v>975000</x:v>
      </x:c>
      <x:c r="E23" s="34" t="n">
        <x:f>'10 Gym, Fitness'!K10</x:f>
        <x:v>182500</x:v>
      </x:c>
      <x:c r="F23" s="34" t="n">
        <x:f>'10 Gym, Fitness'!K22</x:f>
        <x:v>13076787.484924084</x:v>
      </x:c>
      <x:c r="G23" s="34" t="n">
        <x:f>'10 Gym, Fitness'!K24</x:f>
        <x:v>3883486.517826829</x:v>
      </x:c>
      <x:c r="H23" s="4"/>
      <x:c r="I23" s="4"/>
      <x:c r="J23" s="4"/>
    </x:row>
    <x:row r="24" ht="34" customHeight="1">
      <x:c r="A24" s="10" t="n">
        <x:v>11</x:v>
      </x:c>
      <x:c r="B24" s="10" t="str">
        <x:v>Preschool, Daycare &amp; Crèche</x:v>
      </x:c>
      <x:c r="C24" s="10" t="str">
        <x:v>11 Preschool, Daycare</x:v>
      </x:c>
      <x:c r="D24" s="34" t="n">
        <x:f>'11 Preschool, Daycare'!K6</x:f>
        <x:v>672000</x:v>
      </x:c>
      <x:c r="E24" s="34" t="n">
        <x:f>'11 Preschool, Daycare'!K10</x:f>
        <x:v>158000</x:v>
      </x:c>
      <x:c r="F24" s="34" t="n">
        <x:f>'11 Preschool, Daycare'!K22</x:f>
        <x:v>9012924.297301522</x:v>
      </x:c>
      <x:c r="G24" s="34" t="n">
        <x:f>'11 Preschool, Daycare'!K24</x:f>
        <x:v>3434805.6227176734</x:v>
      </x:c>
      <x:c r="H24" s="4"/>
      <x:c r="I24" s="4"/>
      <x:c r="J24" s="4"/>
    </x:row>
    <x:row r="25" ht="34" customHeight="1">
      <x:c r="A25" s="10" t="n">
        <x:v>12</x:v>
      </x:c>
      <x:c r="B25" s="10" t="str">
        <x:v>Coaching, Tuition &amp; EdTech Centre</x:v>
      </x:c>
      <x:c r="C25" s="10" t="str">
        <x:v>12 Coaching, Tuition</x:v>
      </x:c>
      <x:c r="D25" s="34" t="n">
        <x:f>'12 Coaching, Tuition'!K6</x:f>
        <x:v>1344000</x:v>
      </x:c>
      <x:c r="E25" s="34" t="n">
        <x:f>'12 Coaching, Tuition'!K10</x:f>
        <x:v>426000</x:v>
      </x:c>
      <x:c r="F25" s="34" t="n">
        <x:f>'12 Coaching, Tuition'!K22</x:f>
        <x:v>18025848.594603043</x:v>
      </x:c>
      <x:c r="G25" s="34" t="n">
        <x:f>'12 Coaching, Tuition'!K24</x:f>
        <x:v>7343937.351973831</x:v>
      </x:c>
      <x:c r="H25" s="4"/>
      <x:c r="I25" s="4"/>
      <x:c r="J25" s="4"/>
    </x:row>
    <x:row r="26" ht="34" customHeight="1">
      <x:c r="A26" s="10" t="n">
        <x:v>13</x:v>
      </x:c>
      <x:c r="B26" s="10" t="str">
        <x:v>Travel Agency &amp; Tour Operator</x:v>
      </x:c>
      <x:c r="C26" s="10" t="str">
        <x:v>13 Travel Agency</x:v>
      </x:c>
      <x:c r="D26" s="34" t="n">
        <x:f>'13 Travel Agency'!K6</x:f>
        <x:v>992000</x:v>
      </x:c>
      <x:c r="E26" s="34" t="n">
        <x:f>'13 Travel Agency'!K10</x:f>
        <x:v>195000</x:v>
      </x:c>
      <x:c r="F26" s="34" t="n">
        <x:f>'13 Travel Agency'!K22</x:f>
        <x:v>13304793.010302246</x:v>
      </x:c>
      <x:c r="G26" s="34" t="n">
        <x:f>'13 Travel Agency'!K24</x:f>
        <x:v>3696170.1444227165</x:v>
      </x:c>
      <x:c r="H26" s="4"/>
      <x:c r="I26" s="4"/>
      <x:c r="J26" s="4"/>
    </x:row>
    <x:row r="27" ht="34" customHeight="1">
      <x:c r="A27" s="10" t="n">
        <x:v>14</x:v>
      </x:c>
      <x:c r="B27" s="10" t="str">
        <x:v>Transport, Logistics &amp; Fleet Operator</x:v>
      </x:c>
      <x:c r="C27" s="10" t="str">
        <x:v>14 Transport, Logistics</x:v>
      </x:c>
      <x:c r="D27" s="34" t="n">
        <x:f>'14 Transport, Logistics'!K6</x:f>
        <x:v>4560000</x:v>
      </x:c>
      <x:c r="E27" s="34" t="n">
        <x:f>'14 Transport, Logistics'!K10</x:f>
        <x:v>320000</x:v>
      </x:c>
      <x:c r="F27" s="34" t="n">
        <x:f>'14 Transport, Logistics'!K22</x:f>
        <x:v>61159129.16026034</x:v>
      </x:c>
      <x:c r="G27" s="34" t="n">
        <x:f>'14 Transport, Logistics'!K24</x:f>
        <x:v>-2143848.1021612617</x:v>
      </x:c>
      <x:c r="H27" s="4"/>
      <x:c r="I27" s="4"/>
      <x:c r="J27" s="4"/>
    </x:row>
    <x:row r="28" ht="34" customHeight="1">
      <x:c r="A28" s="10" t="n">
        <x:v>15</x:v>
      </x:c>
      <x:c r="B28" s="10" t="str">
        <x:v>Real Estate Brokerage &amp; Property Management</x:v>
      </x:c>
      <x:c r="C28" s="10" t="str">
        <x:v>15 Real Estate Brokerage</x:v>
      </x:c>
      <x:c r="D28" s="34" t="n">
        <x:f>'15 Real Estate Brokerage'!K6</x:f>
        <x:v>1200000</x:v>
      </x:c>
      <x:c r="E28" s="34" t="n">
        <x:f>'15 Real Estate Brokerage'!K10</x:f>
        <x:v>342000</x:v>
      </x:c>
      <x:c r="F28" s="34" t="n">
        <x:f>'15 Real Estate Brokerage'!K22</x:f>
        <x:v>16094507.673752716</x:v>
      </x:c>
      <x:c r="G28" s="34" t="n">
        <x:f>'15 Real Estate Brokerage'!K24</x:f>
        <x:v>4642022.758392064</x:v>
      </x:c>
      <x:c r="H28" s="4"/>
      <x:c r="I28" s="4"/>
      <x:c r="J28" s="4"/>
    </x:row>
    <x:row r="29" ht="34" customHeight="1">
      <x:c r="A29" s="10" t="n">
        <x:v>16</x:v>
      </x:c>
      <x:c r="B29" s="10" t="str">
        <x:v>Digital Marketing &amp; Creative Agency</x:v>
      </x:c>
      <x:c r="C29" s="10" t="str">
        <x:v>16 Digital Marketing</x:v>
      </x:c>
      <x:c r="D29" s="34" t="n">
        <x:f>'16 Digital Marketing'!K6</x:f>
        <x:v>1960000</x:v>
      </x:c>
      <x:c r="E29" s="34" t="n">
        <x:f>'16 Digital Marketing'!K10</x:f>
        <x:v>520000</x:v>
      </x:c>
      <x:c r="F29" s="34" t="n">
        <x:f>'16 Digital Marketing'!K22</x:f>
        <x:v>26287695.867129438</x:v>
      </x:c>
      <x:c r="G29" s="34" t="n">
        <x:f>'16 Digital Marketing'!K24</x:f>
        <x:v>6289415.767965363</x:v>
      </x:c>
      <x:c r="H29" s="4"/>
      <x:c r="I29" s="4"/>
      <x:c r="J29" s="4"/>
    </x:row>
    <x:row r="30" ht="34" customHeight="1">
      <x:c r="A30" s="10" t="n">
        <x:v>17</x:v>
      </x:c>
      <x:c r="B30" s="10" t="str">
        <x:v>Rooftop Solar EPC &amp; Installer</x:v>
      </x:c>
      <x:c r="C30" s="10" t="str">
        <x:v>17 Rooftop Solar EPC</x:v>
      </x:c>
      <x:c r="D30" s="34" t="n">
        <x:f>'17 Rooftop Solar EPC'!K6</x:f>
        <x:v>15040000</x:v>
      </x:c>
      <x:c r="E30" s="34" t="n">
        <x:f>'17 Rooftop Solar EPC'!K10</x:f>
        <x:v>1750000</x:v>
      </x:c>
      <x:c r="F30" s="34" t="n">
        <x:f>'17 Rooftop Solar EPC'!K22</x:f>
        <x:v>201717829.51103407</x:v>
      </x:c>
      <x:c r="G30" s="34" t="n">
        <x:f>'17 Rooftop Solar EPC'!K24</x:f>
        <x:v>-336046.1336859977</x:v>
      </x:c>
      <x:c r="H30" s="4"/>
      <x:c r="I30" s="4"/>
      <x:c r="J30" s="4"/>
    </x:row>
    <x:row r="31" ht="34" customHeight="1">
      <x:c r="A31" s="10" t="n">
        <x:v>18</x:v>
      </x:c>
      <x:c r="B31" s="10" t="str">
        <x:v>Warehouse, Cold Storage &amp; 3PL Fulfilment</x:v>
      </x:c>
      <x:c r="C31" s="10" t="str">
        <x:v>18 Warehouse, Cold Storage</x:v>
      </x:c>
      <x:c r="D31" s="34" t="n">
        <x:f>'18 Warehouse, Cold Storage'!K6</x:f>
        <x:v>1900000</x:v>
      </x:c>
      <x:c r="E31" s="34" t="n">
        <x:f>'18 Warehouse, Cold Storage'!K10</x:f>
        <x:v>460000</x:v>
      </x:c>
      <x:c r="F31" s="34" t="n">
        <x:f>'18 Warehouse, Cold Storage'!K22</x:f>
        <x:v>25482970.483441807</x:v>
      </x:c>
      <x:c r="G31" s="34" t="n">
        <x:f>'18 Warehouse, Cold Storage'!K24</x:f>
        <x:v>5478192.551752657</x:v>
      </x:c>
      <x:c r="H31" s="4"/>
      <x:c r="I31" s="4"/>
      <x:c r="J31" s="4"/>
    </x:row>
    <x:row r="32" ht="23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</x:row>
    <x:row r="33" ht="23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</x:row>
    <x:row r="34" ht="23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</x:row>
    <x:row r="35" ht="23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</x:row>
    <x:row r="36" ht="23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</x:row>
    <x:row r="37" ht="23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</x:row>
    <x:row r="38" ht="23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</x:row>
    <x:row r="39" ht="23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</x:row>
    <x:row r="40" ht="23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</x:row>
    <x:row r="41" ht="23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</x:row>
    <x:row r="42" ht="23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</x:row>
    <x:row r="43" ht="23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</x:row>
    <x:row r="44" ht="23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</x:row>
    <x:row r="45" ht="23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</x:row>
    <x:row r="46" ht="23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</x:row>
    <x:row r="47" ht="23" customHeight="1">
      <x:c r="A47" s="4"/>
      <x:c r="B47" s="4"/>
      <x:c r="C47" s="4"/>
      <x:c r="D47" s="4"/>
      <x:c r="E47" s="4"/>
      <x:c r="F47" s="4"/>
      <x:c r="G47" s="4"/>
      <x:c r="H47" s="4"/>
      <x:c r="I47" s="4"/>
      <x:c r="J47" s="4"/>
    </x:row>
    <x:row r="48" ht="23" customHeight="1">
      <x:c r="A48" s="4"/>
      <x:c r="B48" s="4"/>
      <x:c r="C48" s="4"/>
      <x:c r="D48" s="4"/>
      <x:c r="E48" s="4"/>
      <x:c r="F48" s="4"/>
      <x:c r="G48" s="4"/>
      <x:c r="H48" s="4"/>
      <x:c r="I48" s="4"/>
      <x:c r="J48" s="4"/>
    </x:row>
  </x:sheetData>
  <x:mergeCells>
    <x:mergeCell ref="A1:J1"/>
    <x:mergeCell ref="A2:J3"/>
    <x:mergeCell ref="A5:J5"/>
    <x:mergeCell ref="A6:J6"/>
    <x:mergeCell ref="A7:J7"/>
    <x:mergeCell ref="A8:J8"/>
    <x:mergeCell ref="A9:J9"/>
    <x:mergeCell ref="A10:J10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5" hidden="0" customWidth="1"/>
    <x:col min="3" max="3" width="43" hidden="0" customWidth="1"/>
    <x:col min="4" max="4" width="43" hidden="0" customWidth="1"/>
    <x:col min="5" max="5" width="43" hidden="0" customWidth="1"/>
  </x:cols>
  <x:sheetData>
    <x:row r="1" ht="38" customHeight="1">
      <x:c r="A1" s="7" t="str">
        <x:v>Official sources and applicability boundaries</x:v>
      </x:c>
      <x:c r="B1" s="7"/>
      <x:c r="C1" s="7"/>
      <x:c r="D1" s="7"/>
      <x:c r="E1" s="7"/>
    </x:row>
    <x:row r="2" ht="23" customHeight="1">
      <x:c r="A2" s="4"/>
      <x:c r="B2" s="4"/>
      <x:c r="C2" s="4"/>
      <x:c r="D2" s="4"/>
      <x:c r="E2" s="4"/>
    </x:row>
    <x:row r="3" ht="23" customHeight="1">
      <x:c r="A3" s="4"/>
      <x:c r="B3" s="4"/>
      <x:c r="C3" s="4"/>
      <x:c r="D3" s="4"/>
      <x:c r="E3" s="4"/>
    </x:row>
    <x:row r="4" ht="80" customHeight="1">
      <x:c r="A4" s="10" t="str">
        <x:v>Code</x:v>
      </x:c>
      <x:c r="B4" s="10" t="str">
        <x:v>Title</x:v>
      </x:c>
      <x:c r="C4" s="10" t="str">
        <x:v>Official URL</x:v>
      </x:c>
      <x:c r="D4" s="10" t="str">
        <x:v>Scope</x:v>
      </x:c>
      <x:c r="E4" s="10" t="str">
        <x:v>Evidence boundary</x:v>
      </x:c>
    </x:row>
    <x:row r="5" ht="80" customHeight="1">
      <x:c r="A5" s="10" t="str">
        <x:v>NSWS</x:v>
      </x:c>
      <x:c r="B5" s="10" t="str">
        <x:v>National Single Window System — Know Your Approvals and State portals</x:v>
      </x:c>
      <x:c r="C5" s="10" t="str">
        <x:v>https://www.nsws.gov.in/</x:v>
      </x:c>
      <x:c r="D5" s="10" t="str">
        <x:v>Navigation framework; not a substitute for municipal or sector permissions.</x:v>
      </x:c>
      <x:c r="E5" s="10" t="str">
        <x:v>Prior-release reference. Match the actual activity, jurisdiction and currently operative instrument.</x:v>
      </x:c>
    </x:row>
    <x:row r="6" ht="80" customHeight="1">
      <x:c r="A6" s="10" t="str">
        <x:v>FSSAI</x:v>
      </x:c>
      <x:c r="B6" s="10" t="str">
        <x:v>FoSCoS Kind of Business eligibility and annual fees — updated 1 April 2026</x:v>
      </x:c>
      <x:c r="C6" s="10" t="str">
        <x:v>https://foscos.fssai.gov.in/public/assets/docs/Revised_2ndApril2026KindofBusinessEligibility.pdf</x:v>
      </x:c>
      <x:c r="D6" s="10" t="str">
        <x:v>Use the exact activity row and premises; restaurant and catering categories differ. Amounts are annual fees in the source schedule.</x:v>
      </x:c>
      <x:c r="E6" s="10" t="str">
        <x:v>Activity-specific schedule; actual eligibility, application and payment demand remain case-specific.</x:v>
      </x:c>
    </x:row>
    <x:row r="7" ht="80" customHeight="1">
      <x:c r="A7" s="10" t="str">
        <x:v>FOSCOS</x:v>
      </x:c>
      <x:c r="B7" s="10" t="str">
        <x:v>FoSCoS Kind of Business eligibility and annual fees; schedule updated 1 April 2026</x:v>
      </x:c>
      <x:c r="C7" s="10" t="str">
        <x:v>https://foscos.fssai.gov.in/public/assets/docs/Revised_2ndApril2026KindofBusinessEligibility.pdf</x:v>
      </x:c>
      <x:c r="D7" s="10" t="str">
        <x:v>Eligibility/annual-fee schedule. The actual application must be filed through the appropriate FoSCoS service.</x:v>
      </x:c>
      <x:c r="E7" s="10" t="str">
        <x:v>Use only for the identified document scope; not an individual permit or full amendment-chain opinion.</x:v>
      </x:c>
    </x:row>
    <x:row r="8" ht="80" customHeight="1">
      <x:c r="A8" s="10" t="str">
        <x:v>TAX</x:v>
      </x:c>
      <x:c r="B8" s="10" t="str">
        <x:v>CBDT — Income-tax Act, 2025 commencement</x:v>
      </x:c>
      <x:c r="C8" s="10" t="str">
        <x:v>https://www.incometaxindia.gov.in/documents/d/guest/press-release-income-tax-act-2025-comes-into-force-from-01-april-2026-pdf</x:v>
      </x:c>
      <x:c r="D8" s="10" t="str">
        <x:v>Act effective 1 April 2026; Rules notified 20 March 2026. Match the tax year before using earlier section/form numbers.</x:v>
      </x:c>
      <x:c r="E8" s="10" t="str">
        <x:v>Prior-release reference. Match the actual activity, jurisdiction and currently operative instrument.</x:v>
      </x:c>
    </x:row>
    <x:row r="9" ht="80" customHeight="1">
      <x:c r="A9" s="10" t="str">
        <x:v>GST</x:v>
      </x:c>
      <x:c r="B9" s="10" t="str">
        <x:v>GST Council — Central GST official repository routes</x:v>
      </x:c>
      <x:c r="C9" s="10" t="str">
        <x:v>https://gstcouncil.gov.in/central-gst</x:v>
      </x:c>
      <x:c r="D9" s="10" t="str">
        <x:v>Official Act, Rules, notification and rate-notification navigation</x:v>
      </x:c>
      <x:c r="E9" s="10" t="str">
        <x:v>Official navigation only; obtain the actual current instrument and case facts.</x:v>
      </x:c>
    </x:row>
    <x:row r="10" ht="80" customHeight="1">
      <x:c r="A10" s="10" t="str">
        <x:v>GSTFAQ</x:v>
      </x:c>
      <x:c r="B10" s="10" t="str">
        <x:v>Ministry of Finance — 56th GST Council FAQ</x:v>
      </x:c>
      <x:c r="C10" s="10" t="str">
        <x:v>https://gstcouncil.gov.in/sites/default/files/2025-09/faq.pdf</x:v>
      </x:c>
      <x:c r="D10" s="10" t="str">
        <x:v>Official explanatory FAQ, 3 September 2025; questions 60–62 transport, 72 beauty/well-being. Read with implementing notifications.</x:v>
      </x:c>
      <x:c r="E10" s="10" t="str">
        <x:v>Prior-release reference. Match the actual activity, jurisdiction and currently operative instrument.</x:v>
      </x:c>
    </x:row>
    <x:row r="11" ht="80" customHeight="1">
      <x:c r="A11" s="10" t="str">
        <x:v>GST rate</x:v>
      </x:c>
      <x:c r="B11" s="10" t="str">
        <x:v>Operative GST classification and rate entry</x:v>
      </x:c>
      <x:c r="C11" s="10" t="str">
        <x:v>https://gstcouncil.gov.in/central-gst</x:v>
      </x:c>
      <x:c r="D11" s="10" t="str">
        <x:v>Determine the actual supply, notification entry, effective date, rate, ITC and conditions before invoicing.</x:v>
      </x:c>
      <x:c r="E11" s="10" t="str">
        <x:v>Council explanations are not a substitute for the operative notification.</x:v>
      </x:c>
    </x:row>
    <x:row r="12" ht="80" customHeight="1">
      <x:c r="A12" s="10" t="str">
        <x:v>LABOUR</x:v>
      </x:c>
      <x:c r="B12" s="10" t="str">
        <x:v>Ministry of Labour — four Labour Codes commencement</x:v>
      </x:c>
      <x:c r="C12" s="10" t="str">
        <x:v>https://labour.gov.in/sites/default/files/pib2192463.pdf</x:v>
      </x:c>
      <x:c r="D12" s="10" t="str">
        <x:v>21 November 2025 commencement; applicable Central/State rules and transition must be considered.</x:v>
      </x:c>
      <x:c r="E12" s="10" t="str">
        <x:v>Prior-release reference. Match the actual activity, jurisdiction and currently operative instrument.</x:v>
      </x:c>
    </x:row>
    <x:row r="13" ht="80" customHeight="1">
      <x:c r="A13" s="10" t="str">
        <x:v>DPDP</x:v>
      </x:c>
      <x:c r="B13" s="10" t="str">
        <x:v>Gazette — DPDP Act phased commencement, G.S.R. 843(E)</x:v>
      </x:c>
      <x:c r="C13" s="10" t="str">
        <x:v>https://www.meity.gov.in/static/uploads/2025/11/c56ceae6c383460ca69577428d36828b.pdf</x:v>
      </x:c>
      <x:c r="D13" s="10" t="str">
        <x:v>13 November 2025; immediate, one-year and eighteen-month provision groups. Do not treat every substantive duty as already commenced.</x:v>
      </x:c>
      <x:c r="E13" s="10" t="str">
        <x:v>Prior-release reference. Match the actual activity, jurisdiction and currently operative instrument.</x:v>
      </x:c>
    </x:row>
    <x:row r="14" ht="80" customHeight="1">
      <x:c r="A14" s="10" t="str">
        <x:v>RBI</x:v>
      </x:c>
      <x:c r="B14" s="10" t="str">
        <x:v>RBI — NBFC Credit Facilities Directions, 2025, updated 15 July 2026</x:v>
      </x:c>
      <x:c r="C14" s="10" t="str">
        <x:v>https://www.rbi.org.in/Scripts/BS_ViewMasDirections.aspx?id=12957</x:v>
      </x:c>
      <x:c r="D14" s="10" t="str">
        <x:v>Chapter III digital lending; NBFC applicability. Bank directions are separate.</x:v>
      </x:c>
      <x:c r="E14" s="10" t="str">
        <x:v>Prior-release reference. Match the actual activity, jurisdiction and currently operative instrument.</x:v>
      </x:c>
    </x:row>
    <x:row r="15" ht="80" customHeight="1">
      <x:c r="A15" s="10" t="str">
        <x:v>RBIBANK</x:v>
      </x:c>
      <x:c r="B15" s="10" t="str">
        <x:v>RBI — Commercial Banks Credit Facilities Directions, 2025</x:v>
      </x:c>
      <x:c r="C15" s="10" t="str">
        <x:v>https://www.rbi.org.in/Scripts/BS_ViewMasDirections.aspx?id=13156</x:v>
      </x:c>
      <x:c r="D15" s="10" t="str">
        <x:v>Use the partner institution’s own applicable consolidated directions, not the NBFC text indiscriminately.</x:v>
      </x:c>
      <x:c r="E15" s="10" t="str">
        <x:v>Prior-release reference. Match the actual activity, jurisdiction and currently operative instrument.</x:v>
      </x:c>
    </x:row>
    <x:row r="16" ht="80" customHeight="1">
      <x:c r="A16" s="10" t="str">
        <x:v>RBIDIR</x:v>
      </x:c>
      <x:c r="B16" s="10" t="str">
        <x:v>RBI — consolidated Master Directions index</x:v>
      </x:c>
      <x:c r="C16" s="10" t="str">
        <x:v>https://www.rbi.org.in/Scripts/BS_ViewMasDirections.aspx</x:v>
      </x:c>
      <x:c r="D16" s="10" t="str">
        <x:v>Choose the regulated entity and activity: NBFC, bank, payment system, PPI, account aggregator, outsourcing or KYC.</x:v>
      </x:c>
      <x:c r="E16" s="10" t="str">
        <x:v>Prior-release reference. Match the actual activity, jurisdiction and currently operative instrument.</x:v>
      </x:c>
    </x:row>
    <x:row r="17" ht="80" customHeight="1">
      <x:c r="A17" s="10" t="str">
        <x:v>BIS</x:v>
      </x:c>
      <x:c r="B17" s="10" t="str">
        <x:v>BIS — products under compulsory certification</x:v>
      </x:c>
      <x:c r="C17" s="10" t="str">
        <x:v>https://www.bis.gov.in/product-certification/products-under-compulsory-certification/?lang=en</x:v>
      </x:c>
      <x:c r="D17" s="10" t="str">
        <x:v>QCO, effective date, product scope and certification scheme must match the actual SKU and manufacturing site.</x:v>
      </x:c>
      <x:c r="E17" s="10" t="str">
        <x:v>Prior-release reference. Match the actual activity, jurisdiction and currently operative instrument.</x:v>
      </x:c>
    </x:row>
    <x:row r="18" ht="80" customHeight="1">
      <x:c r="A18" s="10" t="str">
        <x:v>CLINICAL</x:v>
      </x:c>
      <x:c r="B18" s="10" t="str">
        <x:v>MoHFW — State and UT clinical-establishment rules</x:v>
      </x:c>
      <x:c r="C18" s="10" t="str">
        <x:v>https://clinicalestablishments.mohfw.gov.in/en/state-and-uts-rules-and-notification</x:v>
      </x:c>
      <x:c r="D18" s="10" t="str">
        <x:v>Central Clinical Establishments Act adoption differs from separate State clinical-establishment regimes.</x:v>
      </x:c>
      <x:c r="E18" s="10" t="str">
        <x:v>Prior-release reference. Match the actual activity, jurisdiction and currently operative instrument.</x:v>
      </x:c>
    </x:row>
    <x:row r="19" ht="80" customHeight="1">
      <x:c r="A19" s="10" t="str">
        <x:v>CPCB</x:v>
      </x:c>
      <x:c r="B19" s="10" t="str">
        <x:v>Central Pollution Control Board</x:v>
      </x:c>
      <x:c r="C19" s="10" t="str">
        <x:v>https://cpcb.gov.in/</x:v>
      </x:c>
      <x:c r="D19" s="10" t="str">
        <x:v>National standards and category guidance; the competent SPCB/PCC handles relevant site consents and authorisations.</x:v>
      </x:c>
      <x:c r="E19" s="10" t="str">
        <x:v>Prior-release reference. Match the actual activity, jurisdiction and currently operative instrument.</x:v>
      </x:c>
    </x:row>
    <x:row r="20" ht="80" customHeight="1">
      <x:c r="A20" s="10" t="str">
        <x:v>RERA</x:v>
      </x:c>
      <x:c r="B20" s="10" t="str">
        <x:v>India Code — Real Estate (Regulation and Development) Act, 2016</x:v>
      </x:c>
      <x:c r="C20" s="10" t="str">
        <x:v>https://www.indiacode.nic.in/handle/123456789/2158</x:v>
      </x:c>
      <x:c r="D20" s="10" t="str">
        <x:v>Sections 3–4 project registration; 9–10 agents; 13 advance/agreement; 18 remedies; 31 complaints; State rules supplement.</x:v>
      </x:c>
      <x:c r="E20" s="10" t="str">
        <x:v>Prior-release reference. Match the actual activity, jurisdiction and currently operative instrument.</x:v>
      </x:c>
    </x:row>
    <x:row r="21" ht="80" customHeight="1">
      <x:c r="A21" s="10" t="str">
        <x:v>DGFT</x:v>
      </x:c>
      <x:c r="B21" s="10" t="str">
        <x:v>DGFT — IEC, foreign-trade policy, ITC(HS), SCOMET and eBRC</x:v>
      </x:c>
      <x:c r="C21" s="10" t="str">
        <x:v>https://www.dgft.gov.in/CP/</x:v>
      </x:c>
      <x:c r="D21" s="10" t="str">
        <x:v>Goods and services have different IEC triggers; select the actual product policy and transaction.</x:v>
      </x:c>
      <x:c r="E21" s="10" t="str">
        <x:v>Prior-release reference. Match the actual activity, jurisdiction and currently operative instrument.</x:v>
      </x:c>
    </x:row>
    <x:row r="22" ht="80" customHeight="1">
      <x:c r="A22" s="10" t="str">
        <x:v>IEC</x:v>
      </x:c>
      <x:c r="B22" s="10" t="str">
        <x:v>DGFT Notification 58/2015-2020, 12 February 2021</x:v>
      </x:c>
      <x:c r="C22" s="10" t="str">
        <x:v>https://content.dgft.gov.in/Website/dgftprod/74893b60-2434-4b7c-b90d-ee9fe0eb7320/Notification%2058%20Date%2012-02-2021%20English.pdf</x:v>
      </x:c>
      <x:c r="D22" s="10" t="str">
        <x:v>Annual IEC confirmation/update framework; current portal notices govern operational windows.</x:v>
      </x:c>
      <x:c r="E22" s="10" t="str">
        <x:v>Prior-release reference. Match the actual activity, jurisdiction and currently operative instrument.</x:v>
      </x:c>
    </x:row>
    <x:row r="23" ht="80" customHeight="1">
      <x:c r="A23" s="10" t="str">
        <x:v>ICEGATE</x:v>
      </x:c>
      <x:c r="B23" s="10" t="str">
        <x:v>ICEGATE official legacy entry route to customs services</x:v>
      </x:c>
      <x:c r="C23" s="10" t="str">
        <x:v>https://old.icegate.gov.in/</x:v>
      </x:c>
      <x:c r="D23" s="10" t="str">
        <x:v>Readable official portal navigation</x:v>
      </x:c>
      <x:c r="E23" s="10" t="str">
        <x:v>Official navigation only; obtain the actual current instrument and case facts.</x:v>
      </x:c>
    </x:row>
    <x:row r="24" ht="80" customHeight="1">
      <x:c r="A24" s="10" t="str">
        <x:v>MNRE</x:v>
      </x:c>
      <x:c r="B24" s="10" t="str">
        <x:v>MNRE — PM-Surya Ghar vendor-registration process</x:v>
      </x:c>
      <x:c r="C24" s="10" t="str">
        <x:v>https://mnre.gov.in/en/notice/process-of-vendor-registration-for-pm-surya-ghar-scheme-on-the-national-portal/</x:v>
      </x:c>
      <x:c r="D24" s="10" t="str">
        <x:v>Scheme vendor registration is distinct from electrical-contractor eligibility and DISCOM interconnection.</x:v>
      </x:c>
      <x:c r="E24" s="10" t="str">
        <x:v>Prior-release reference. Match the actual activity, jurisdiction and currently operative instrument.</x:v>
      </x:c>
    </x:row>
    <x:row r="25" ht="80" customHeight="1">
      <x:c r="A25" s="10" t="str">
        <x:v>UDYAM</x:v>
      </x:c>
      <x:c r="B25" s="10" t="str">
        <x:v>Ministry of MSME — official Udyam registration</x:v>
      </x:c>
      <x:c r="C25" s="10" t="str">
        <x:v>https://udyamregistration.gov.in/</x:v>
      </x:c>
      <x:c r="D25" s="10" t="str">
        <x:v>Government registration is free. It does not authorise a regulated business or guarantee a loan/subsidy.</x:v>
      </x:c>
      <x:c r="E25" s="10" t="str">
        <x:v>Prior-release reference. Match the actual activity, jurisdiction and currently operative instrument.</x:v>
      </x:c>
    </x:row>
    <x:row r="26" ht="80" customHeight="1">
      <x:c r="A26" s="10" t="str">
        <x:v>CONSUMER</x:v>
      </x:c>
      <x:c r="B26" s="10" t="str">
        <x:v>India Code — Consumer Protection Act, 2019</x:v>
      </x:c>
      <x:c r="C26" s="10" t="str">
        <x:v>https://www.indiacode.nic.in/handle/123456789/15256</x:v>
      </x:c>
      <x:c r="D26" s="10" t="str">
        <x:v>Consumer Protection Act base text. Relevant subordinate rules and subsequent amendments must be considered separately.</x:v>
      </x:c>
      <x:c r="E26" s="10" t="str">
        <x:v>Use only for the identified document scope; not an individual permit or full amendment-chain opinion.</x:v>
      </x:c>
    </x:row>
    <x:row r="27" ht="80" customHeight="1">
      <x:c r="A27" s="10" t="str">
        <x:v>EDUCATION</x:v>
      </x:c>
      <x:c r="B27" s="10" t="str">
        <x:v>Ministry of Education — Guidelines for Regulation of Coaching Center, 16 January 2024</x:v>
      </x:c>
      <x:c r="C27" s="10" t="str">
        <x:v>https://www.education.gov.in/sites/upload_files/mhrd/files/document-reports/Guideliens_Coaching_Centres_en.pdf</x:v>
      </x:c>
      <x:c r="D27" s="10" t="str">
        <x:v>Central model forwarded for State/UT implementation. Applicable local form, fee and validity require the implementing State framework.</x:v>
      </x:c>
      <x:c r="E27" s="10" t="str">
        <x:v>Use only for the identified document scope; not an individual permit or full amendment-chain opinion.</x:v>
      </x:c>
    </x:row>
    <x:row r="28" ht="80" customHeight="1">
      <x:c r="A28" s="10" t="str">
        <x:v>NCPCR</x:v>
      </x:c>
      <x:c r="B28" s="10" t="str">
        <x:v>NCPCR official guidelines catalogue; separate Haryana recognition example</x:v>
      </x:c>
      <x:c r="C28" s="10" t="str">
        <x:v>https://ncpcr.gov.in/public/guidelines</x:v>
      </x:c>
      <x:c r="D28" s="10" t="str">
        <x:v>Readable official catalogue</x:v>
      </x:c>
      <x:c r="E28" s="10" t="str">
        <x:v>Official navigation only; obtain the actual current instrument and case facts.</x:v>
      </x:c>
    </x:row>
    <x:row r="29" ht="80" customHeight="1">
      <x:c r="A29" s="10" t="str">
        <x:v>PARIVAHAN</x:v>
      </x:c>
      <x:c r="B29" s="10" t="str">
        <x:v>India Code Motor Vehicles Act, 1988 and Parivahan permit explanation</x:v>
      </x:c>
      <x:c r="C29" s="10" t="str">
        <x:v>https://www.indiacode.nic.in/handle/123456789/1798</x:v>
      </x:c>
      <x:c r="D29" s="10" t="str">
        <x:v>Controlling Act and official permit explanation</x:v>
      </x:c>
      <x:c r="E29" s="10" t="str">
        <x:v>Use only for the identified document scope; not an individual permit or full amendment-chain opinion.</x:v>
      </x:c>
    </x:row>
    <x:row r="30" ht="80" customHeight="1">
      <x:c r="A30" s="10" t="str">
        <x:v>WDRA</x:v>
      </x:c>
      <x:c r="B30" s="10" t="str">
        <x:v>Warehousing Development and Regulatory Authority</x:v>
      </x:c>
      <x:c r="C30" s="10" t="str">
        <x:v>https://wdra.gov.in/</x:v>
      </x:c>
      <x:c r="D30" s="10" t="str">
        <x:v>Check WDRA registration where issuing negotiable warehouse receipts; ordinary storage is not automatically the same activity.</x:v>
      </x:c>
      <x:c r="E30" s="10" t="str">
        <x:v>Obtain the current authority rules, application and fee schedule for the specific receipt activity.</x:v>
      </x:c>
    </x:row>
    <x:row r="31" ht="80" customHeight="1">
      <x:c r="A31" s="10" t="str">
        <x:v>AERB</x:v>
      </x:c>
      <x:c r="B31" s="10" t="str">
        <x:v>AERB diagnostic-radiology regulatory guidance (official Hindi page)</x:v>
      </x:c>
      <x:c r="C31" s="10" t="str">
        <x:v>https://aerb.gov.in/hindi/facilities-activities-hi/radi-facility/application-medicine/diagnostic-radiology-hi</x:v>
      </x:c>
      <x:c r="D31" s="10" t="str">
        <x:v>Radiation-facility regulatory consent and eLORA workflow; professional credentials alone do not authorise equipment operation.</x:v>
      </x:c>
      <x:c r="E31" s="10" t="str">
        <x:v>Use only for the identified document scope; not an individual permit or full amendment-chain opinion.</x:v>
      </x:c>
    </x:row>
    <x:row r="32" ht="80" customHeight="1">
      <x:c r="A32" s="10" t="str">
        <x:v>TOURISM</x:v>
      </x:c>
      <x:c r="B32" s="10" t="str">
        <x:v>Ministry of Tourism — Guidelines for Approval of Online Travel Aggregators</x:v>
      </x:c>
      <x:c r="C32" s="10" t="str">
        <x:v>https://nidhi.tourism.gov.in/uploads/gallery/1659457488.pdf</x:v>
      </x:c>
      <x:c r="D32" s="10" t="str">
        <x:v>OTA voluntary scheme only; its fee and annexures do not create a universal travel-agent licence.</x:v>
      </x:c>
      <x:c r="E32" s="10" t="str">
        <x:v>Use only for the identified document scope; not an individual permit or full amendment-chain opinion.</x:v>
      </x:c>
    </x:row>
    <x:row r="33" ht="80" customHeight="1">
      <x:c r="A33" s="10" t="str">
        <x:v>SEBI</x:v>
      </x:c>
      <x:c r="B33" s="10" t="str">
        <x:v>Securities and Exchange Board of India</x:v>
      </x:c>
      <x:c r="C33" s="10" t="str">
        <x:v>https://www.sebi.gov.in/</x:v>
      </x:c>
      <x:c r="D33" s="10" t="str">
        <x:v>Investment advice, research, broking and distribution require separate regulatory-perimeter analysis.</x:v>
      </x:c>
      <x:c r="E33" s="10" t="str">
        <x:v>Prior-release reference. Match the actual activity, jurisdiction and currently operative instrument.</x:v>
      </x:c>
    </x:row>
    <x:row r="34" ht="80" customHeight="1">
      <x:c r="A34" s="10"/>
      <x:c r="B34" s="10"/>
      <x:c r="C34" s="10"/>
      <x:c r="D34" s="10"/>
      <x:c r="E34" s="10"/>
    </x:row>
    <x:row r="35" ht="23" customHeight="1">
      <x:c r="A35" s="4"/>
      <x:c r="B35" s="4"/>
      <x:c r="C35" s="4"/>
      <x:c r="D35" s="4"/>
      <x:c r="E35" s="4"/>
    </x:row>
    <x:row r="36" ht="23" customHeight="1">
      <x:c r="A36" s="4"/>
      <x:c r="B36" s="4"/>
      <x:c r="C36" s="4"/>
      <x:c r="D36" s="4"/>
      <x:c r="E36" s="4"/>
    </x:row>
    <x:row r="37" ht="23" customHeight="1">
      <x:c r="A37" s="4"/>
      <x:c r="B37" s="4"/>
      <x:c r="C37" s="4"/>
      <x:c r="D37" s="4"/>
      <x:c r="E37" s="4"/>
    </x:row>
    <x:row r="38" ht="23" customHeight="1">
      <x:c r="A38" s="4"/>
      <x:c r="B38" s="4"/>
      <x:c r="C38" s="4"/>
      <x:c r="D38" s="4"/>
      <x:c r="E38" s="4"/>
    </x:row>
    <x:row r="39" ht="23" customHeight="1">
      <x:c r="A39" s="4"/>
      <x:c r="B39" s="4"/>
      <x:c r="C39" s="4"/>
      <x:c r="D39" s="4"/>
      <x:c r="E39" s="4"/>
    </x:row>
    <x:row r="40" ht="23" customHeight="1">
      <x:c r="A40" s="4"/>
      <x:c r="B40" s="4"/>
      <x:c r="C40" s="4"/>
      <x:c r="D40" s="4"/>
      <x:c r="E40" s="4"/>
    </x:row>
  </x:sheetData>
  <x:mergeCells>
    <x:mergeCell ref="A1:E1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61" hidden="0" customWidth="1"/>
    <x:col min="3" max="3" width="14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38" customHeight="1">
      <x:c r="A1" s="7" t="str">
        <x:v>Case-specific review | evidence required</x:v>
      </x:c>
      <x:c r="B1" s="7"/>
      <x:c r="C1" s="7"/>
      <x:c r="D1" s="7"/>
      <x:c r="E1" s="7"/>
      <x:c r="F1" s="7"/>
    </x:row>
    <x:row r="2" ht="23" customHeight="1">
      <x:c r="A2" s="4"/>
      <x:c r="B2" s="4"/>
      <x:c r="C2" s="4"/>
      <x:c r="D2" s="4"/>
      <x:c r="E2" s="4"/>
      <x:c r="F2" s="4"/>
    </x:row>
    <x:row r="3" ht="23" customHeight="1">
      <x:c r="A3" s="4"/>
      <x:c r="B3" s="4"/>
      <x:c r="C3" s="4"/>
      <x:c r="D3" s="4"/>
      <x:c r="E3" s="4"/>
      <x:c r="F3" s="4"/>
    </x:row>
    <x:row r="4" ht="64" customHeight="1">
      <x:c r="A4" s="10" t="str">
        <x:v>Area</x:v>
      </x:c>
      <x:c r="B4" s="10" t="str">
        <x:v>Required evidence</x:v>
      </x:c>
      <x:c r="C4" s="10" t="str">
        <x:v>Owner</x:v>
      </x:c>
      <x:c r="D4" s="10" t="str">
        <x:v>Status</x:v>
      </x:c>
      <x:c r="E4" s="10" t="str">
        <x:v>Date</x:v>
      </x:c>
      <x:c r="F4" s="10" t="str">
        <x:v>Record / URL</x:v>
      </x:c>
    </x:row>
    <x:row r="5" ht="64" customHeight="1">
      <x:c r="A5" s="10" t="str">
        <x:v>Activity and location</x:v>
      </x:c>
      <x:c r="B5" s="10" t="str">
        <x:v>Actual entity, State/city, premises, products, workforce and role</x:v>
      </x:c>
      <x:c r="C5" s="10" t="str"/>
      <x:c r="D5" s="10" t="str">
        <x:v>Open</x:v>
      </x:c>
      <x:c r="E5" s="10" t="str"/>
      <x:c r="F5" s="10" t="str"/>
    </x:row>
    <x:row r="6" ht="64" customHeight="1">
      <x:c r="A6" s="10" t="str">
        <x:v>Statutory permissions</x:v>
      </x:c>
      <x:c r="B6" s="10" t="str">
        <x:v>Applicable instrument, official prescribed form, fee and issued permission</x:v>
      </x:c>
      <x:c r="C6" s="10" t="str"/>
      <x:c r="D6" s="10" t="str">
        <x:v>Open</x:v>
      </x:c>
      <x:c r="E6" s="10" t="str"/>
      <x:c r="F6" s="10" t="str"/>
    </x:row>
    <x:row r="7" ht="64" customHeight="1">
      <x:c r="A7" s="10" t="str">
        <x:v>Taxes</x:v>
      </x:c>
      <x:c r="B7" s="10" t="str">
        <x:v>Tax year, supply classification, notification/ITC and withholding mapping</x:v>
      </x:c>
      <x:c r="C7" s="10" t="str"/>
      <x:c r="D7" s="10" t="str">
        <x:v>Open</x:v>
      </x:c>
      <x:c r="E7" s="10" t="str"/>
      <x:c r="F7" s="10" t="str"/>
    </x:row>
    <x:row r="8" ht="64" customHeight="1">
      <x:c r="A8" s="10" t="str">
        <x:v>Financial inputs</x:v>
      </x:c>
      <x:c r="B8" s="10" t="str">
        <x:v>Supplier / lender quotes, payroll, capacity, credit cycle and taxes</x:v>
      </x:c>
      <x:c r="C8" s="10" t="str"/>
      <x:c r="D8" s="10" t="str">
        <x:v>Open</x:v>
      </x:c>
      <x:c r="E8" s="10" t="str"/>
      <x:c r="F8" s="10" t="str"/>
    </x:row>
    <x:row r="9" ht="64" customHeight="1">
      <x:c r="A9" s="10" t="str">
        <x:v>Customer and data</x:v>
      </x:c>
      <x:c r="B9" s="10" t="str">
        <x:v>Contracts, refunds, complaints, security and applicable duty dates</x:v>
      </x:c>
      <x:c r="C9" s="10" t="str"/>
      <x:c r="D9" s="10" t="str">
        <x:v>Open</x:v>
      </x:c>
      <x:c r="E9" s="10" t="str"/>
      <x:c r="F9" s="10" t="str"/>
    </x:row>
    <x:row r="10" ht="64" customHeight="1">
      <x:c r="A10" s="10" t="str">
        <x:v>Publication</x:v>
      </x:c>
      <x:c r="B10" s="10" t="str">
        <x:v>HTTP, robots/X-Robots-Tag, CMS, canonical, sitemap and crawl checks</x:v>
      </x:c>
      <x:c r="C10" s="10" t="str"/>
      <x:c r="D10" s="10" t="str">
        <x:v>Open</x:v>
      </x:c>
      <x:c r="E10" s="10" t="str"/>
      <x:c r="F10" s="10" t="str"/>
    </x:row>
    <x:row r="11" ht="64" customHeight="1">
      <x:c r="A11" s="10" t="str">
        <x:v>Specialist opinion</x:v>
      </x:c>
      <x:c r="B11" s="10" t="str">
        <x:v>Qualified reviewer identity, date and scope, supported by evidence</x:v>
      </x:c>
      <x:c r="C11" s="10" t="str"/>
      <x:c r="D11" s="10" t="str">
        <x:v>Open</x:v>
      </x:c>
      <x:c r="E11" s="10" t="str"/>
      <x:c r="F11" s="10" t="str"/>
    </x:row>
    <x:row r="12" ht="23" customHeight="1">
      <x:c r="A12" s="4"/>
      <x:c r="B12" s="4"/>
      <x:c r="C12" s="4"/>
      <x:c r="D12" s="4"/>
      <x:c r="E12" s="4"/>
      <x:c r="F12" s="4"/>
    </x:row>
    <x:row r="13" ht="23" customHeight="1">
      <x:c r="A13" s="4"/>
      <x:c r="B13" s="4"/>
      <x:c r="C13" s="4"/>
      <x:c r="D13" s="4"/>
      <x:c r="E13" s="4"/>
      <x:c r="F13" s="4"/>
    </x:row>
    <x:row r="14" ht="23" customHeight="1">
      <x:c r="A14" s="4"/>
      <x:c r="B14" s="4"/>
      <x:c r="C14" s="4"/>
      <x:c r="D14" s="4"/>
      <x:c r="E14" s="4"/>
      <x:c r="F14" s="4"/>
    </x:row>
    <x:row r="15" ht="23" customHeight="1">
      <x:c r="A15" s="4"/>
      <x:c r="B15" s="4"/>
      <x:c r="C15" s="4"/>
      <x:c r="D15" s="4"/>
      <x:c r="E15" s="4"/>
      <x:c r="F15" s="4"/>
    </x:row>
    <x:row r="16" ht="23" customHeight="1">
      <x:c r="A16" s="4"/>
      <x:c r="B16" s="4"/>
      <x:c r="C16" s="4"/>
      <x:c r="D16" s="4"/>
      <x:c r="E16" s="4"/>
      <x:c r="F16" s="4"/>
    </x:row>
    <x:row r="17" ht="23" customHeight="1">
      <x:c r="A17" s="4"/>
      <x:c r="B17" s="4"/>
      <x:c r="C17" s="4"/>
      <x:c r="D17" s="4"/>
      <x:c r="E17" s="4"/>
      <x:c r="F17" s="4"/>
    </x:row>
    <x:row r="18" ht="23" customHeight="1">
      <x:c r="A18" s="4"/>
      <x:c r="B18" s="4"/>
      <x:c r="C18" s="4"/>
      <x:c r="D18" s="4"/>
      <x:c r="E18" s="4"/>
      <x:c r="F18" s="4"/>
    </x:row>
    <x:row r="19" ht="23" customHeight="1">
      <x:c r="A19" s="4"/>
      <x:c r="B19" s="4"/>
      <x:c r="C19" s="4"/>
      <x:c r="D19" s="4"/>
      <x:c r="E19" s="4"/>
      <x:c r="F19" s="4"/>
    </x:row>
    <x:row r="20" ht="23" customHeight="1">
      <x:c r="A20" s="4"/>
      <x:c r="B20" s="4"/>
      <x:c r="C20" s="4"/>
      <x:c r="D20" s="4"/>
      <x:c r="E20" s="4"/>
      <x:c r="F20" s="4"/>
    </x:row>
    <x:row r="21" ht="23" customHeight="1">
      <x:c r="A21" s="4"/>
      <x:c r="B21" s="4"/>
      <x:c r="C21" s="4"/>
      <x:c r="D21" s="4"/>
      <x:c r="E21" s="4"/>
      <x:c r="F21" s="4"/>
    </x:row>
    <x:row r="22" ht="23" customHeight="1">
      <x:c r="A22" s="4"/>
      <x:c r="B22" s="4"/>
      <x:c r="C22" s="4"/>
      <x:c r="D22" s="4"/>
      <x:c r="E22" s="4"/>
      <x:c r="F22" s="4"/>
    </x:row>
    <x:row r="23" ht="23" customHeight="1">
      <x:c r="A23" s="4"/>
      <x:c r="B23" s="4"/>
      <x:c r="C23" s="4"/>
      <x:c r="D23" s="4"/>
      <x:c r="E23" s="4"/>
      <x:c r="F23" s="4"/>
    </x:row>
    <x:row r="24" ht="23" customHeight="1">
      <x:c r="A24" s="4"/>
      <x:c r="B24" s="4"/>
      <x:c r="C24" s="4"/>
      <x:c r="D24" s="4"/>
      <x:c r="E24" s="4"/>
      <x:c r="F24" s="4"/>
    </x:row>
  </x:sheetData>
  <x:mergeCells>
    <x:mergeCell ref="A1:F1"/>
  </x:mergeCells>
  <x:dataValidations count="1">
    <x:dataValidation type="list" sqref="D5:D11">
      <x:formula1>"Open,In review,Closed with evidence,Not applicable with reason"</x:formula1>
    </x:dataValidation>
  </x:dataValidations>
  <x:pageMargins left="0.7" right="0.7" top="0.75" bottom="0.75" header="0.3" footer="0.3"/>
</x:worksheet>
</file>