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drawings/drawing1.xml" ContentType="application/vnd.openxmlformats-officedocument.drawing+xml"/>
  <Override PartName="/xl/drawings/charts/chart1.xml" ContentType="application/vnd.openxmlformats-officedocument.drawingml.chart+xml"/>
  <Override PartName="/xl/worksheets/sheet6.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drawings/charts/chart2.xml" ContentType="application/vnd.openxmlformats-officedocument.drawingml.chart+xml"/>
  <Override PartName="/xl/worksheets/sheet7.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drawings/drawing3.xml" ContentType="application/vnd.openxmlformats-officedocument.drawing+xml"/>
  <Override PartName="/xl/drawings/charts/chart3.xml" ContentType="application/vnd.openxmlformats-officedocument.drawingml.chart+xml"/>
  <Override PartName="/xl/worksheets/sheet8.xml" ContentType="application/vnd.openxmlformats-officedocument.spreadsheetml.worksheet+xml"/>
  <Override PartName="/xl/comments4.xml" ContentType="application/vnd.openxmlformats-officedocument.spreadsheetml.comments+xml"/>
  <Override PartName="/xl/threadedcomments/threadedcomment4.xml" ContentType="application/vnd.ms-excel.threadedcomments+xml"/>
  <Override PartName="/xl/drawings/drawing4.xml" ContentType="application/vnd.openxmlformats-officedocument.drawing+xml"/>
  <Override PartName="/xl/drawings/charts/chart4.xml" ContentType="application/vnd.openxmlformats-officedocument.drawingml.chart+xml"/>
  <Override PartName="/xl/worksheets/sheet9.xml" ContentType="application/vnd.openxmlformats-officedocument.spreadsheetml.worksheet+xml"/>
  <Override PartName="/xl/comments5.xml" ContentType="application/vnd.openxmlformats-officedocument.spreadsheetml.comments+xml"/>
  <Override PartName="/xl/threadedcomments/threadedcomment5.xml" ContentType="application/vnd.ms-excel.threadedcomments+xml"/>
  <Override PartName="/xl/drawings/drawing5.xml" ContentType="application/vnd.openxmlformats-officedocument.drawing+xml"/>
  <Override PartName="/xl/drawings/charts/chart5.xml" ContentType="application/vnd.openxmlformats-officedocument.drawingml.chart+xml"/>
  <Override PartName="/xl/worksheets/sheet10.xml" ContentType="application/vnd.openxmlformats-officedocument.spreadsheetml.worksheet+xml"/>
  <Override PartName="/xl/comments6.xml" ContentType="application/vnd.openxmlformats-officedocument.spreadsheetml.comments+xml"/>
  <Override PartName="/xl/threadedcomments/threadedcomment6.xml" ContentType="application/vnd.ms-excel.threadedcomments+xml"/>
  <Override PartName="/xl/drawings/drawing6.xml" ContentType="application/vnd.openxmlformats-officedocument.drawing+xml"/>
  <Override PartName="/xl/drawings/charts/chart6.xml" ContentType="application/vnd.openxmlformats-officedocument.drawingml.chart+xml"/>
  <Override PartName="/xl/worksheets/sheet11.xml" ContentType="application/vnd.openxmlformats-officedocument.spreadsheetml.worksheet+xml"/>
  <Override PartName="/xl/comments7.xml" ContentType="application/vnd.openxmlformats-officedocument.spreadsheetml.comments+xml"/>
  <Override PartName="/xl/threadedcomments/threadedcomment7.xml" ContentType="application/vnd.ms-excel.threadedcomments+xml"/>
  <Override PartName="/xl/drawings/drawing7.xml" ContentType="application/vnd.openxmlformats-officedocument.drawing+xml"/>
  <Override PartName="/xl/drawings/charts/chart7.xml" ContentType="application/vnd.openxmlformats-officedocument.drawingml.chart+xml"/>
  <Override PartName="/xl/worksheets/sheet12.xml" ContentType="application/vnd.openxmlformats-officedocument.spreadsheetml.worksheet+xml"/>
  <Override PartName="/xl/comments8.xml" ContentType="application/vnd.openxmlformats-officedocument.spreadsheetml.comments+xml"/>
  <Override PartName="/xl/threadedcomments/threadedcomment8.xml" ContentType="application/vnd.ms-excel.threadedcomments+xml"/>
  <Override PartName="/xl/drawings/drawing8.xml" ContentType="application/vnd.openxmlformats-officedocument.drawing+xml"/>
  <Override PartName="/xl/drawings/charts/chart8.xml" ContentType="application/vnd.openxmlformats-officedocument.drawingml.chart+xml"/>
  <Override PartName="/xl/worksheets/sheet13.xml" ContentType="application/vnd.openxmlformats-officedocument.spreadsheetml.worksheet+xml"/>
  <Override PartName="/xl/comments9.xml" ContentType="application/vnd.openxmlformats-officedocument.spreadsheetml.comments+xml"/>
  <Override PartName="/xl/threadedcomments/threadedcomment9.xml" ContentType="application/vnd.ms-excel.threadedcomments+xml"/>
  <Override PartName="/xl/drawings/drawing9.xml" ContentType="application/vnd.openxmlformats-officedocument.drawing+xml"/>
  <Override PartName="/xl/drawings/charts/chart9.xml" ContentType="application/vnd.openxmlformats-officedocument.drawingml.chart+xml"/>
  <Override PartName="/xl/worksheets/sheet14.xml" ContentType="application/vnd.openxmlformats-officedocument.spreadsheetml.worksheet+xml"/>
  <Override PartName="/xl/comments10.xml" ContentType="application/vnd.openxmlformats-officedocument.spreadsheetml.comments+xml"/>
  <Override PartName="/xl/threadedcomments/threadedcomment10.xml" ContentType="application/vnd.ms-excel.threadedcomments+xml"/>
  <Override PartName="/xl/drawings/drawing10.xml" ContentType="application/vnd.openxmlformats-officedocument.drawing+xml"/>
  <Override PartName="/xl/drawings/charts/chart10.xml" ContentType="application/vnd.openxmlformats-officedocument.drawingml.char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bd5cea3807d749eb" /></Relationships>
</file>

<file path=xl/workbook.xml><?xml version="1.0" encoding="utf-8"?>
<x:workbook xmlns:x="http://schemas.openxmlformats.org/spreadsheetml/2006/main">
  <x:sheets>
    <x:sheet xmlns:r="http://schemas.openxmlformats.org/officeDocument/2006/relationships" name="Read me" sheetId="1" r:id="R85c23c153273447b"/>
    <x:sheet xmlns:r="http://schemas.openxmlformats.org/officeDocument/2006/relationships" name="Overview" sheetId="2" r:id="R9eae770113404052"/>
    <x:sheet xmlns:r="http://schemas.openxmlformats.org/officeDocument/2006/relationships" name="Demand and scope" sheetId="3" r:id="Rf9512e6e911f4a95"/>
    <x:sheet xmlns:r="http://schemas.openxmlformats.org/officeDocument/2006/relationships" name="Primary sources" sheetId="4" r:id="R26a6b9e095dd4196"/>
    <x:sheet xmlns:r="http://schemas.openxmlformats.org/officeDocument/2006/relationships" name="PCJ-19" sheetId="5" r:id="R99898fe478954ddf"/>
    <x:sheet xmlns:r="http://schemas.openxmlformats.org/officeDocument/2006/relationships" name="PCJ-20" sheetId="6" r:id="Rcc7550d3d5ff4367"/>
    <x:sheet xmlns:r="http://schemas.openxmlformats.org/officeDocument/2006/relationships" name="PCJ-21" sheetId="7" r:id="R3da28152b04b4c9b"/>
    <x:sheet xmlns:r="http://schemas.openxmlformats.org/officeDocument/2006/relationships" name="PCJ-22" sheetId="8" r:id="R8b758e3f494d4be2"/>
    <x:sheet xmlns:r="http://schemas.openxmlformats.org/officeDocument/2006/relationships" name="PCJ-23" sheetId="9" r:id="R249307dcd6674ce2"/>
    <x:sheet xmlns:r="http://schemas.openxmlformats.org/officeDocument/2006/relationships" name="PCJ-24" sheetId="10" r:id="R72274e76eacd48ba"/>
    <x:sheet xmlns:r="http://schemas.openxmlformats.org/officeDocument/2006/relationships" name="PCJ-25" sheetId="11" r:id="Rd57248df96dd47c1"/>
    <x:sheet xmlns:r="http://schemas.openxmlformats.org/officeDocument/2006/relationships" name="PCJ-26" sheetId="12" r:id="Redc88af4e0c44233"/>
    <x:sheet xmlns:r="http://schemas.openxmlformats.org/officeDocument/2006/relationships" name="PCJ-27" sheetId="13" r:id="Rd589ea8a99a34d80"/>
    <x:sheet xmlns:r="http://schemas.openxmlformats.org/officeDocument/2006/relationships" name="PCJ-28" sheetId="14" r:id="Rfe8d944986a8447f"/>
  </x:sheets>
</x:workbook>
</file>

<file path=xl/comments1.xml><?xml version="1.0" encoding="utf-8"?>
<x:comments xmlns:x="http://schemas.openxmlformats.org/spreadsheetml/2006/main">
  <x:authors>
    <x:author>tc={0A595218-A456-4509-8B3B-230549A25AC7}</x:author>
    <x:author>tc={05A33695-19EA-4299-A757-3FD54FFCFD43}</x:author>
    <x:author>tc={E9FF6CD4-B483-4750-AE85-5DACDD619B91}</x:author>
    <x:author>tc={B417A3F2-4029-4913-8E51-5C7F3C8C18FC}</x:author>
    <x:author>tc={3408E83F-38F1-4968-B71E-407F410BFFBE}</x:author>
    <x:author>tc={10ED119D-6689-4878-A2AD-11AEB0103A78}</x:author>
    <x:author>tc={2A583356-90B8-4852-BE13-AE3289FBC202}</x:author>
    <x:author>tc={8F52F4E2-5370-4655-9DD6-872A3AB286D5}</x:author>
    <x:author>tc={D0AC0275-5D3C-43C1-ADBE-1D6BA8F09AA8}</x:author>
    <x:author>tc={6C217A17-0979-443A-9865-6748A766EB53}</x:author>
    <x:author>tc={D1840B11-C606-48D6-A0BA-C4D376D48BB6}</x:author>
    <x:author>tc={22B44D9D-A059-4864-94E0-BA0870ADA1ED}</x:author>
    <x:author>tc={281D0D4D-F8FB-47DE-AA6D-FE28DCA93DEB}</x:author>
    <x:author>tc={72F2C7D6-4672-442F-A06F-A7DBFB333F09}</x:author>
    <x:author>tc={4CB68721-44FE-4BA0-94E5-2E100AE73CEB}</x:author>
    <x:author>tc={CF9CCE56-0C04-41B9-9F85-F0BA0F3A9628}</x:author>
    <x:author>tc={02A79E4B-85CD-4DF8-A8CD-5A66CDC4DC9B}</x:author>
    <x:author>tc={1B616FB2-39D1-432F-A487-561317E7C6FB}</x:author>
    <x:author>tc={8F348293-9767-420B-BD95-ACB9F8791DE6}</x:author>
    <x:author>tc={1BA89590-2BEF-4750-921E-F170E69DEA48}</x:author>
    <x:author>tc={A88977FA-BF62-4C84-8364-2C8FAD5EE5A0}</x:author>
    <x:author>tc={C8470126-1C99-4B15-AAE1-4B8751A15421}</x:author>
    <x:author>tc={1F9A7326-3705-41C1-A273-A06AC923E399}</x:author>
    <x:author>tc={377B52F0-2A85-454C-ACD3-E6819B2B899E}</x:author>
    <x:author>tc={0835E907-ECAE-4FDF-BF12-5C098DA99AD4}</x:author>
    <x:author>tc={AEC32496-3913-4BD8-91EC-58AED9CF2959}</x:author>
    <x:author>tc={0FC9EBBB-27C0-4F06-BD0B-5ACAAE5DE367}</x:author>
    <x:author>tc={0983CD08-C09E-4628-B60E-D4F518F90297}</x:author>
    <x:author>tc={957B6CD4-3147-4CF8-A5E6-8B8A46D5182F}</x:author>
    <x:author>tc={A9C94C3E-BF62-4BCF-9CB4-3BB489872DA5}</x:author>
    <x:author>tc={2C9EE3C2-85FD-47D3-AFCF-7D0451435844}</x:author>
    <x:author>tc={C4355A38-8404-4B1C-8FD5-221E863DEA8F}</x:author>
    <x:author>tc={43FA4FAB-FC6B-4EAA-A829-7D00C71D08C1}</x:author>
    <x:author>tc={04F53B9D-F6B7-4BB3-B042-829E166CF4A3}</x:author>
    <x:author>tc={9FCEC933-8C42-4461-A493-C4EC48BAFFA2}</x:author>
    <x:author>tc={953F1558-2AC1-4B0A-97C4-61165E2CCFA6}</x:author>
    <x:author>tc={2A8F58CF-633F-4103-BFCF-AC2EEEA3FF8A}</x:author>
    <x:author>tc={8930145B-5E8C-4442-BC0B-4E786ED3C6C8}</x:author>
    <x:author>tc={2C821993-3F8A-412D-924F-6A3EEDF22557}</x:author>
    <x:author>tc={F9BFE20D-A82F-4564-B38B-8DA6BE2B33EC}</x:author>
    <x:author>tc={17DB01B6-1A63-4C23-BD45-663CC9BE5D9A}</x:author>
    <x:author>tc={1C4C2A95-1965-4F50-BA46-E0CC0937D3D0}</x:author>
    <x:author>tc={B17FE995-589A-4262-8F53-A8B96295BCF7}</x:author>
    <x:author>tc={660A0342-C044-4DE7-A1BA-0F3B01B6CE53}</x:author>
    <x:author>tc={AA4D2CF5-7855-4C92-A5A2-A80645BB3C34}</x:author>
    <x:author>tc={800A8684-7002-497A-8D3A-1418782E68B9}</x:author>
    <x:author>tc={4D19D68C-5722-42CC-897D-DD5719FEAF8B}</x:author>
    <x:author>tc={5B7E307F-2D35-4543-B33F-221990D2B0B5}</x:author>
    <x:author>tc={F64EC4FB-BA81-4104-AB9E-9EBDF844ACAF}</x:author>
    <x:author>tc={0703C449-E4F6-4CB7-9ED4-568F818A90A5}</x:author>
    <x:author>tc={D7502194-2A00-4D3C-BE55-66AE3415BFC4}</x:author>
    <x:author>tc={DA2651EF-8DD3-4A42-8C08-EE504D54C75E}</x:author>
    <x:author>tc={8C4C9D13-4D50-4424-B319-09884FA8EDE5}</x:author>
    <x:author>tc={29742109-D173-4A14-AC5E-F36F89E84184}</x:author>
    <x:author>tc={1FABDADD-1349-4C00-A16F-AC2AC82590A0}</x:author>
    <x:author>tc={11386578-A930-4792-A25B-BB52E26D7664}</x:author>
    <x:author>tc={00FC610D-4770-4B18-B505-81DC8E1C656C}</x:author>
    <x:author>tc={FA82C3B8-133D-4066-ADF9-0337880A35A4}</x:author>
    <x:author>tc={42C443FA-7B19-4CA3-BA40-24327BFD2925}</x:author>
    <x:author>tc={8EE714A5-AF50-40D8-8DCD-CB15DD17A952}</x:author>
    <x:author>tc={07169581-5FF6-4B88-A710-AFB6B06A7C6C}</x:author>
    <x:author>tc={4014B1E6-ED3B-4014-ACA1-96963FE643C3}</x:author>
    <x:author>tc={017232F1-B87A-453F-AC9C-CFBCEF490C5B}</x:author>
    <x:author>tc={B13AA0B7-C095-4390-ABC4-E6E75ED7EF5A}</x:author>
    <x:author>tc={98204AC4-77A8-4367-B2DB-199A9ED87F3D}</x:author>
    <x:author>tc={2E3D0B1F-7F82-44D2-99BD-8FD42CB95C77}</x:author>
    <x:author>tc={49CF79E6-E249-43DF-867B-E196ED1EAF4E}</x:author>
    <x:author>tc={AE9067C4-B6AF-4269-AEB4-7BB083BE11C5}</x:author>
    <x:author>tc={BBA7958A-EAF4-4750-B0CC-EA596130F92C}</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2.xml><?xml version="1.0" encoding="utf-8"?>
<x:comments xmlns:x="http://schemas.openxmlformats.org/spreadsheetml/2006/main">
  <x:authors>
    <x:author>tc={F7845729-AA0A-4D4F-9A14-D6F4F8C47244}</x:author>
    <x:author>tc={664039FC-1086-40D6-8DB6-8C1BE9ED3B32}</x:author>
    <x:author>tc={105AFFFB-DC18-4CE8-9915-4F6ED770481E}</x:author>
    <x:author>tc={14EEEA22-E913-44FF-A7CE-FA65CB1B1419}</x:author>
    <x:author>tc={BFA8EDE8-FB8D-4325-86F0-AAC924A647F0}</x:author>
    <x:author>tc={4E18A82E-3558-4C9C-94A3-775064459B2F}</x:author>
    <x:author>tc={BE66D5E8-B088-4806-8DA5-E1468E5B1734}</x:author>
    <x:author>tc={CEEC1260-B153-4266-9E29-A7A6336A32F3}</x:author>
    <x:author>tc={84C9845B-07B6-438A-B150-A17807AA4926}</x:author>
    <x:author>tc={072447C7-DEEF-4515-BF00-07A18A3A0E03}</x:author>
    <x:author>tc={B83DA6A6-0EE8-4B75-9561-889700978295}</x:author>
    <x:author>tc={B365ABD5-8996-4410-9593-52A3022B67E1}</x:author>
    <x:author>tc={F88B8F92-F1F8-4F06-AEB8-DDDD9F982B83}</x:author>
    <x:author>tc={53AB6640-CBFE-417A-B582-3F781D6139B1}</x:author>
    <x:author>tc={7BD277E0-F859-4BFF-B762-13BC7CE84EF2}</x:author>
    <x:author>tc={98FA3A39-1DAF-4F48-ABA5-A555172359AD}</x:author>
    <x:author>tc={494BD316-D2FC-41B3-A6C0-7A7078F9D7CF}</x:author>
    <x:author>tc={B0F91952-25C6-4872-B826-A2EEB215019B}</x:author>
    <x:author>tc={1780152F-806D-48FF-A47F-5EBC4DA43BB0}</x:author>
    <x:author>tc={D2A2816B-15C2-484B-A25A-63707BED71BB}</x:author>
    <x:author>tc={D115AC42-C26D-43B1-AC16-407ADAD5BCA6}</x:author>
    <x:author>tc={A1661CCC-0736-4998-A547-E06014A1E989}</x:author>
    <x:author>tc={4920CC92-85F5-4618-81F5-5E9C3B6EAEED}</x:author>
    <x:author>tc={E03E7805-236A-4301-9D36-2868A362D102}</x:author>
    <x:author>tc={00E28645-2557-4D9A-BCD6-112A138A95F7}</x:author>
    <x:author>tc={633ED068-954E-4E1F-9DDC-558FF5152791}</x:author>
    <x:author>tc={B4440BCB-5401-4A55-ABFD-87CFBD7E6D4A}</x:author>
    <x:author>tc={1FA5E42D-C491-441B-9C81-76CF6EDE5A79}</x:author>
    <x:author>tc={C0634DCC-8536-4E89-BD7D-082344BDAD39}</x:author>
    <x:author>tc={26C48546-797A-4D07-8965-47DBC2E791BD}</x:author>
    <x:author>tc={7FE4EAA7-FDE1-45C5-B409-37861F915C55}</x:author>
    <x:author>tc={0448144C-3114-4517-BDC6-DE1F350AF9EF}</x:author>
    <x:author>tc={8E308B0E-4CB3-4C49-AE12-BA6F278ABD8C}</x:author>
    <x:author>tc={24226AC9-65E9-48C9-9112-E272A3E235BF}</x:author>
    <x:author>tc={D4045B61-B610-4A97-B50D-ACC2C07959C1}</x:author>
    <x:author>tc={76565E7E-2E87-408E-963F-2986AF748D7A}</x:author>
    <x:author>tc={B0C52F14-62CF-4412-ADE4-349D3E240C9E}</x:author>
    <x:author>tc={5F7E2DCD-1AF2-4E61-9539-D19CDED63224}</x:author>
    <x:author>tc={FDCC0232-1BAA-4DBF-B8F1-26889F551274}</x:author>
    <x:author>tc={8DE925F5-0632-4849-8C1D-AA5236ED4385}</x:author>
    <x:author>tc={C8F85372-BFA6-4AA9-A04B-14E00C969FC1}</x:author>
    <x:author>tc={C4F0D9D1-9142-47F8-8477-0956D50289FD}</x:author>
    <x:author>tc={A3AD42E9-D4B9-4B23-B690-11D789FA6FE1}</x:author>
    <x:author>tc={7846A5B9-07B1-4339-B34B-23472B9E4BB2}</x:author>
    <x:author>tc={B6FD0409-620B-4D8D-8BED-AB34E686F42E}</x:author>
    <x:author>tc={45673C91-0C96-4539-A4AD-1C20F3AA6CF0}</x:author>
    <x:author>tc={BF7D5BCC-FBBF-42C6-915A-E41E76A9C8FE}</x:author>
    <x:author>tc={D85B157E-9127-4ABE-AD2C-6E9F37CE25B8}</x:author>
    <x:author>tc={D2C8890F-1188-4BFC-B2DA-FAA1BB7B98E7}</x:author>
    <x:author>tc={D2F8D553-9679-4DBB-914A-C997CBF73B1E}</x:author>
    <x:author>tc={CC592478-B660-4356-8C0E-98D29DCBC10B}</x:author>
    <x:author>tc={3CC0FA6A-E767-430D-8880-AE6CBEE0DC23}</x:author>
    <x:author>tc={4E943947-12E0-48D2-A989-2F819F3DDE0D}</x:author>
    <x:author>tc={FB5E61E0-416A-49D8-939A-A194E3157D5C}</x:author>
    <x:author>tc={50BB6762-710C-4E4E-A019-0AFB4E5D0E4A}</x:author>
    <x:author>tc={A3F0F186-0295-41C3-96FF-E34D86056D30}</x:author>
    <x:author>tc={694830DC-00D8-4898-9A3F-72FF8C032D5E}</x:author>
    <x:author>tc={D0F6EA31-F183-43A1-AC47-48CE82658DB7}</x:author>
    <x:author>tc={726F89AD-FEA5-4C57-9ED3-EDE5AB85E394}</x:author>
    <x:author>tc={4BC8E1A7-9B1A-4B6E-B5AF-E5FE885B6AE7}</x:author>
    <x:author>tc={52704490-C9DF-4FED-8402-8E71F980DE6C}</x:author>
    <x:author>tc={890EE78E-95BA-47EA-A114-FC3CCD4937B0}</x:author>
    <x:author>tc={7A5A1B53-36AE-4106-B22C-330D4643FD9D}</x:author>
    <x:author>tc={83B41EA1-20C1-4F3D-979F-4C11FA1BA296}</x:author>
    <x:author>tc={B32EFF8B-FE40-467D-A6CF-A77356D7FAD8}</x:author>
    <x:author>tc={BA9906ED-041B-4019-8BC5-405ECE2E6507}</x:author>
    <x:author>tc={857C6DB4-0574-428C-ADA4-48E83BFC8CCA}</x:author>
    <x:author>tc={B34F0178-E7B3-4E2A-B04D-0D2B2B898BF3}</x:author>
    <x:author>tc={7983F858-710A-44FE-9C0E-B25702337C1C}</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3.xml><?xml version="1.0" encoding="utf-8"?>
<x:comments xmlns:x="http://schemas.openxmlformats.org/spreadsheetml/2006/main">
  <x:authors>
    <x:author>tc={662078FA-05B1-41E5-9DC7-F6AC065D4C6B}</x:author>
    <x:author>tc={149D0925-7AC2-4DA6-AD4B-7159E968873D}</x:author>
    <x:author>tc={9432ABED-89B8-4C06-B3E9-7282A4008E50}</x:author>
    <x:author>tc={6FF0733E-D280-4610-8A53-AA4555FAD1D2}</x:author>
    <x:author>tc={36A810E2-1699-444B-802F-36558CDDE130}</x:author>
    <x:author>tc={A72959EC-7232-4036-9097-D706665AF6A4}</x:author>
    <x:author>tc={3B4D949F-BDD3-41A9-BBBE-6400298A893A}</x:author>
    <x:author>tc={F94ED0A1-EC88-46FD-97A6-3434777931B3}</x:author>
    <x:author>tc={2C3B9D80-E7A0-438A-9990-07A6D66DBCBF}</x:author>
    <x:author>tc={59483230-7778-4392-8D53-2DB740BA7F69}</x:author>
    <x:author>tc={4A847B6F-18EC-4385-9251-006D3967DFFD}</x:author>
    <x:author>tc={47CFDF38-3C67-476C-A9F1-01BB602374F4}</x:author>
    <x:author>tc={41DE450B-ACFA-4D3B-B276-6E9B2C6719D4}</x:author>
    <x:author>tc={EC21D225-0934-4A2A-8CA6-EC89FFBB31A9}</x:author>
    <x:author>tc={10AB7841-0104-42B5-A009-96BFD69DC6AA}</x:author>
    <x:author>tc={B1722A87-800B-4EC1-88FC-F9102B51440C}</x:author>
    <x:author>tc={4B46492D-6759-48CF-BBD6-064885857A20}</x:author>
    <x:author>tc={85A9B563-D0C8-4053-9D85-691B7B274095}</x:author>
    <x:author>tc={B29B00F3-8F69-4752-A9D2-43DDFFEF91B5}</x:author>
    <x:author>tc={AC036527-5490-403F-8887-3D2D43EA97DE}</x:author>
    <x:author>tc={F0FCEEFB-D272-42BF-BAE6-35193E671D20}</x:author>
    <x:author>tc={3F8BEB0F-2872-428C-980C-46EB39B1CD42}</x:author>
    <x:author>tc={C21E3322-D277-4B1B-87AA-BA0A0DDB79BE}</x:author>
    <x:author>tc={8B807334-0344-45E4-91F7-058F28222846}</x:author>
    <x:author>tc={9AA8118D-B4ED-4EE4-847C-12DF726CF2E7}</x:author>
    <x:author>tc={48605EFA-5C00-4F6C-83D4-CBF168D4C845}</x:author>
    <x:author>tc={D39C4A89-AC52-4892-BAFD-B42170610559}</x:author>
    <x:author>tc={31C2A7D9-4927-4B40-9C06-3935B5F29534}</x:author>
    <x:author>tc={12813AFC-D322-4722-A547-F455C338B371}</x:author>
    <x:author>tc={8AC1EA97-6D01-464D-9187-6E4922D3828C}</x:author>
    <x:author>tc={92ECCF28-6F4E-4AE8-A357-98A9B4161424}</x:author>
    <x:author>tc={2B1BD087-EFE4-4AF1-9588-B85FD77AB8C4}</x:author>
    <x:author>tc={8D48A5B7-FAE0-45CF-A7A4-59864C5AA2C8}</x:author>
    <x:author>tc={3128EDFF-9722-4542-8B9D-6B658CF5515A}</x:author>
    <x:author>tc={17FF8F2E-7C2A-4B7C-8C58-989EA097BAB6}</x:author>
    <x:author>tc={D5B65D74-6E69-466D-B6AC-01896EC9DE1B}</x:author>
    <x:author>tc={16FD56E6-3B97-4200-9505-2F7D91558EB9}</x:author>
    <x:author>tc={2BBF3171-BD39-4D8F-9403-BC66737D45C2}</x:author>
    <x:author>tc={41C1222B-E506-4AF5-926E-F5D57643AC20}</x:author>
    <x:author>tc={9BF55A2C-D20D-488A-BE50-E9BF6507A08D}</x:author>
    <x:author>tc={89E0DF6A-0DFD-4848-8912-4802953EB8A1}</x:author>
    <x:author>tc={70D1F485-CC69-4B95-838E-FB33B56C1942}</x:author>
    <x:author>tc={7E5E3860-AC10-45F5-904A-7F5C569552AE}</x:author>
    <x:author>tc={46C6D85A-B4EB-4F18-849E-CF39E3B5C4AD}</x:author>
    <x:author>tc={54CD74E7-9ACC-4433-8C76-F905AA539C1D}</x:author>
    <x:author>tc={B414C643-68D5-4DBF-B5AE-6827F5D15DAA}</x:author>
    <x:author>tc={33D2D754-60F3-4CFA-9021-E62FA8058E10}</x:author>
    <x:author>tc={5A30AE53-D56B-48A0-9986-1572BC2534A5}</x:author>
    <x:author>tc={763E0DE6-F4A2-4B4E-89B9-869F58512F48}</x:author>
    <x:author>tc={AF3C828C-4C91-4B7C-A7DF-9B83BE8114D6}</x:author>
    <x:author>tc={B71544C4-03D8-44AD-80B4-4A23D727EE04}</x:author>
    <x:author>tc={0B327B8D-D9E7-4A2F-8C6A-E827186B4446}</x:author>
    <x:author>tc={293DDD7C-6B0C-4577-A2C8-34FD60A146F2}</x:author>
    <x:author>tc={6FC4CA39-A500-40B0-BDA9-5B287704B34A}</x:author>
    <x:author>tc={B4F9C63D-E6D0-4206-88FF-C43E8585F6A7}</x:author>
    <x:author>tc={59EE4BD5-23EE-477F-8ABF-0848F059E3B9}</x:author>
    <x:author>tc={80184BEE-9AD6-4FF9-91F1-80F264017FC0}</x:author>
    <x:author>tc={4C4F0B92-641A-4B74-9F2F-221AE0B27D9B}</x:author>
    <x:author>tc={17665581-70E2-456B-88B3-863489356FB4}</x:author>
    <x:author>tc={473B4221-0978-40EB-B3E5-86D63E28A69E}</x:author>
    <x:author>tc={21605097-1F82-4F0D-8EFA-11BD912A22BD}</x:author>
    <x:author>tc={9F939462-9DC1-4762-BB0F-5B99988EE88E}</x:author>
    <x:author>tc={D9EDC416-DEC1-4880-AE93-6C83F44709D1}</x:author>
    <x:author>tc={0C566EFC-40DC-44E4-B925-ECA42A4A4D77}</x:author>
    <x:author>tc={B50DF92F-EBD6-4E23-AAD4-2708E7C0A2B7}</x:author>
    <x:author>tc={E1C60A96-F49A-4EE6-AEF9-DCB0C22E672C}</x:author>
    <x:author>tc={1551485C-33B9-4ECE-B31A-0CB65104D458}</x:author>
    <x:author>tc={FDF455BE-868A-4BDB-B948-A9D7FA7AF647}</x:author>
    <x:author>tc={AAC215EE-8DCD-4420-B208-835DB168CDDF}</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4.xml><?xml version="1.0" encoding="utf-8"?>
<x:comments xmlns:x="http://schemas.openxmlformats.org/spreadsheetml/2006/main">
  <x:authors>
    <x:author>tc={245DCAD2-5ABD-45EE-AB32-2EF12B641051}</x:author>
    <x:author>tc={5FB004C8-70ED-456E-9946-92BFFABDD089}</x:author>
    <x:author>tc={5C68FFF7-CE7F-4E62-8960-DACBFC3FA249}</x:author>
    <x:author>tc={0DBE6DFA-DC62-45C4-94DA-9451E191098F}</x:author>
    <x:author>tc={26ADBF38-F9F7-449C-AE79-1DF4C89AC1A6}</x:author>
    <x:author>tc={3E880BC7-4005-4063-BD48-88066885549F}</x:author>
    <x:author>tc={5488A78E-CE42-48B4-924E-FD5A1CAAA12C}</x:author>
    <x:author>tc={9073A635-3AB4-4CC7-AFEA-82C312982E01}</x:author>
    <x:author>tc={849B2271-8AEA-4C9E-B7B8-BB9DABA294DF}</x:author>
    <x:author>tc={AD21B6CE-AD79-477E-9CC9-07544834DF4F}</x:author>
    <x:author>tc={E60A0A38-7614-4E32-840B-F471A91ACEF8}</x:author>
    <x:author>tc={407CDB09-F4FD-404D-890B-E9349EB9EAB8}</x:author>
    <x:author>tc={F56552D9-8B35-4531-B7B5-82CF6A89B21E}</x:author>
    <x:author>tc={32F8EC22-21CB-4038-AFAF-C16C482A9995}</x:author>
    <x:author>tc={CED48CFC-8352-4B93-B581-CCEFF4A9376E}</x:author>
    <x:author>tc={7C2D4E2A-2017-4569-A821-2DAA770F147A}</x:author>
    <x:author>tc={52A644C5-D3E4-4825-B80A-2CADF8D07D77}</x:author>
    <x:author>tc={2BC66F5F-D46C-4F75-90C7-4D58C398501B}</x:author>
    <x:author>tc={EB44B06A-69FD-49C7-99B5-197C1BF9D3B2}</x:author>
    <x:author>tc={CFF9961D-C21A-470D-80BC-B452D97DB860}</x:author>
    <x:author>tc={83356FB2-1D9C-4C52-8C27-B34E40462E45}</x:author>
    <x:author>tc={00C37110-7F68-49F0-833B-545CE831DD1B}</x:author>
    <x:author>tc={604557B3-F355-48AD-BEB1-5C38EF28561F}</x:author>
    <x:author>tc={044AF647-9AF2-4E88-9C57-08CC54BA297D}</x:author>
    <x:author>tc={F1F15EF1-A27D-4761-AFCE-DE6B609EF0CD}</x:author>
    <x:author>tc={CD79631C-897A-4D2B-8572-7260ECBDCA18}</x:author>
    <x:author>tc={AEB24150-A708-4DA0-ABB2-510F0F3A7C80}</x:author>
    <x:author>tc={1D801211-D8D9-461E-AAAA-1252B03BFFA9}</x:author>
    <x:author>tc={3F224E75-7815-4172-B15A-CF19DAE548FD}</x:author>
    <x:author>tc={C2AAA6CF-08EE-436E-8A4A-C09F59B2588E}</x:author>
    <x:author>tc={F33DE888-3D09-424F-9680-CFD39BDEC81D}</x:author>
    <x:author>tc={F46C09AD-0052-4628-9665-CC550E575D41}</x:author>
    <x:author>tc={E1A3A441-E397-4E87-A194-ACEC682ADFA8}</x:author>
    <x:author>tc={A67F3A63-1BE8-4834-871E-FB5A060C1D11}</x:author>
    <x:author>tc={D7A04064-F3F8-4523-806C-F839EE63F1D3}</x:author>
    <x:author>tc={D67A8CD0-3F5F-4541-8CDA-E04C8717AB22}</x:author>
    <x:author>tc={7C4CE4ED-D605-4062-83BD-7DE2B17EDD50}</x:author>
    <x:author>tc={8FF63486-7249-48C9-B51E-DF10AFF2F01B}</x:author>
    <x:author>tc={88A274D6-7B58-4A8B-859E-1F642EE14B1D}</x:author>
    <x:author>tc={6E70169D-CA72-48A6-B0D7-AA7E6C1D669A}</x:author>
    <x:author>tc={D4705292-59E4-4BCC-AFB8-6E1771AFCCB3}</x:author>
    <x:author>tc={46A11E14-CA93-4296-B27D-FD6F69EEC668}</x:author>
    <x:author>tc={66C2EABE-E385-4B9F-8245-A79E67580582}</x:author>
    <x:author>tc={AC63DA6F-31B1-4150-BCDB-E7D56AD3BD75}</x:author>
    <x:author>tc={A46BA3B7-6FD7-4FD0-AC1E-97D4501C0506}</x:author>
    <x:author>tc={A0C04BED-715B-472E-9214-3870E6621F22}</x:author>
    <x:author>tc={6D283C60-3345-4153-8772-E70381737AF5}</x:author>
    <x:author>tc={FC3F4761-802F-481B-87FB-FF686F251940}</x:author>
    <x:author>tc={0C9E100B-DA0A-4439-82AA-689B8BFAB986}</x:author>
    <x:author>tc={763F1614-F66C-4F36-8E53-411DCB3F427D}</x:author>
    <x:author>tc={6E387B02-5374-428A-A34F-AFA9D39EEF10}</x:author>
    <x:author>tc={5A8A7209-2F6D-4348-B2CE-A31C010E2972}</x:author>
    <x:author>tc={3BFC86F8-FD3D-4DFE-83F9-011E39CF85DC}</x:author>
    <x:author>tc={483A1704-80C9-440F-BA43-4B7EB4B83638}</x:author>
    <x:author>tc={C3F7DEED-333B-4645-9C7C-C65A88091DE4}</x:author>
    <x:author>tc={30687961-C69D-4731-8FB3-53517387E261}</x:author>
    <x:author>tc={6BE7EBC0-F9A9-46A9-9169-4354ADA2E734}</x:author>
    <x:author>tc={558DD0D8-44BE-4026-9C62-CBA30093218A}</x:author>
    <x:author>tc={8F77F85B-6EDC-4375-9FE4-22A54DAD8E9B}</x:author>
    <x:author>tc={89A496EC-D4A9-4F40-B6E8-848B0129EA86}</x:author>
    <x:author>tc={AC3ED6EB-C390-4557-A6FB-FD69B6CD3FF7}</x:author>
    <x:author>tc={DF05ADF9-CD51-4AA9-8288-028760CFB39B}</x:author>
    <x:author>tc={9E3E5046-4105-455E-A848-19F4D6F719C8}</x:author>
    <x:author>tc={F9733CC8-EE45-4F22-A0BC-BEEB16CC4909}</x:author>
    <x:author>tc={1BD1AE21-D53B-46FB-902F-8007A5B58F83}</x:author>
    <x:author>tc={884369CD-140C-4E91-A999-521FC9B898D1}</x:author>
    <x:author>tc={B6826142-907A-441A-9980-3EACDEDE9048}</x:author>
    <x:author>tc={A6291529-3502-4267-8485-A1FF062601E2}</x:author>
    <x:author>tc={28DE54DD-A262-4DF6-B9D2-2EE8361B5632}</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5.xml><?xml version="1.0" encoding="utf-8"?>
<x:comments xmlns:x="http://schemas.openxmlformats.org/spreadsheetml/2006/main">
  <x:authors>
    <x:author>tc={9497104E-3126-4A75-9B7A-B2179405A3C9}</x:author>
    <x:author>tc={302E474E-FB70-4D2B-8AD8-694FF80A931E}</x:author>
    <x:author>tc={52637BB3-FE0D-4FA7-996C-5720A3C70D3D}</x:author>
    <x:author>tc={09BC79E4-CA8E-4CC5-9E5D-33872C07C60C}</x:author>
    <x:author>tc={DD3665A0-B0C8-44E1-83CF-F49BC4F9B32F}</x:author>
    <x:author>tc={4C8C8DE6-ECA6-44AA-A7B3-2D42FC767E99}</x:author>
    <x:author>tc={017E267A-452F-4F35-9BE1-35BD1218EAEB}</x:author>
    <x:author>tc={36D6586B-3735-4567-BF98-E3122F81F6DB}</x:author>
    <x:author>tc={EA74DDFF-710B-4142-B85E-CFEA44D22D53}</x:author>
    <x:author>tc={5B52AA67-242D-4F40-9029-ADFFF02430B8}</x:author>
    <x:author>tc={6AC43A86-C79C-48D3-8632-F885C86771FB}</x:author>
    <x:author>tc={716A7500-D75C-440A-9C41-21B763AFBD26}</x:author>
    <x:author>tc={9D3D5BC2-8E5B-4F3D-9384-9C3EDD6E85BF}</x:author>
    <x:author>tc={8F001CDD-4D71-4DBF-8AEA-D89D6A41B67D}</x:author>
    <x:author>tc={F95EC34C-A36E-48BD-BCEE-DAB04016BCF7}</x:author>
    <x:author>tc={8706A577-1473-4D83-865B-C2A381C74E85}</x:author>
    <x:author>tc={641EB84F-1646-4AD1-9039-65A1862E0DD6}</x:author>
    <x:author>tc={3F877BF3-5C33-45B2-861B-78AA6D77F54A}</x:author>
    <x:author>tc={D9D4533C-8F7A-4134-813E-0367A933379A}</x:author>
    <x:author>tc={60F4FB9D-3B71-48BB-B215-B15D9E1EE661}</x:author>
    <x:author>tc={640ED1D2-DD72-4B11-B949-2829B20ADA0A}</x:author>
    <x:author>tc={87FA7210-9BDA-47AB-B632-E2C12DFE94F2}</x:author>
    <x:author>tc={0E683055-21B2-44D3-8DF6-72415A615386}</x:author>
    <x:author>tc={32D99EF4-F066-4E77-95E1-5E14459B1FE5}</x:author>
    <x:author>tc={28D0E937-5C14-4D76-AF45-F81685474877}</x:author>
    <x:author>tc={BDD4AEEA-D9C4-4EEB-B871-DBACAF4F76C3}</x:author>
    <x:author>tc={2F50964D-5068-4EB9-8F75-71C1A918296E}</x:author>
    <x:author>tc={885A50C8-6867-4613-9C11-8BCB866FA5DE}</x:author>
    <x:author>tc={8B4C1EE5-865A-49B8-ADF4-0A7EB4697824}</x:author>
    <x:author>tc={34A494DD-BB48-45C0-B351-F0883DD8C202}</x:author>
    <x:author>tc={48D376AF-1EE9-465A-B07B-3AFD843B2B0B}</x:author>
    <x:author>tc={7A82D562-1CB3-4830-8D2C-13AA7AABAD97}</x:author>
    <x:author>tc={A88E1736-BD7B-4F48-BD55-5AE0758DD30E}</x:author>
    <x:author>tc={0C725C39-FB44-492B-BCF5-C2430C45A85F}</x:author>
    <x:author>tc={5C768982-B2EC-4499-BFF1-04290553A082}</x:author>
    <x:author>tc={DDE02B21-F558-47A2-98C9-3107F08343F7}</x:author>
    <x:author>tc={F1986B11-2F55-4A1A-9B4D-A899274F47B4}</x:author>
    <x:author>tc={F0C4070B-96DB-4427-A760-EEC7932AB11B}</x:author>
    <x:author>tc={A8B88021-BA1B-40C0-B53D-254838782BA8}</x:author>
    <x:author>tc={2FC068FF-91F0-47E7-9AC0-8D475C77BF75}</x:author>
    <x:author>tc={07B49DBB-3202-401F-9AA1-D35F65BB26B7}</x:author>
    <x:author>tc={082A5B3D-93F1-4C72-AE70-307A64393D18}</x:author>
    <x:author>tc={F2B82B6E-2DBB-43C0-A72F-5110F2ABF8F2}</x:author>
    <x:author>tc={C20D842A-04C9-4C73-8450-3AF00FA41832}</x:author>
    <x:author>tc={D57577AC-9742-43AA-A91B-257BB21B5FF5}</x:author>
    <x:author>tc={79E9A89E-8BAA-44F8-B01B-CADFA22EFECE}</x:author>
    <x:author>tc={2D054441-5A99-46ED-9C49-A6691E54E11B}</x:author>
    <x:author>tc={36D9BD79-B4F8-4028-B896-94119294E09F}</x:author>
    <x:author>tc={36C37D72-C0F5-4AFD-9FDC-D571B2F140D5}</x:author>
    <x:author>tc={28E78084-D448-47C2-851E-DE5E19D68A8F}</x:author>
    <x:author>tc={38250FDB-5668-46CF-87BA-D5D4E13A7EBE}</x:author>
    <x:author>tc={8CDE7A8C-62D5-49ED-9A6D-2B6E5AB1805A}</x:author>
    <x:author>tc={05FB814A-914A-4063-94DD-66BC3F1E4066}</x:author>
    <x:author>tc={F60484B5-F5B9-4729-BE81-330304B855A1}</x:author>
    <x:author>tc={E87A3033-FF5B-459A-9360-21DAF3DD0FAB}</x:author>
    <x:author>tc={4316C151-3A6D-4D7E-9E36-01D66C4C8DDD}</x:author>
    <x:author>tc={A010968E-59CA-44DB-9B44-241250EBD169}</x:author>
    <x:author>tc={AA8B0632-930B-4977-A856-6DACDCFF987A}</x:author>
    <x:author>tc={F8AC8632-E738-414E-AE42-FF37E6CE460D}</x:author>
    <x:author>tc={DC05E424-80E1-4173-B0DA-94440E0FDE34}</x:author>
    <x:author>tc={A7F7466E-C67B-4ED0-A2F7-C4C5E5B0C640}</x:author>
    <x:author>tc={13FAAC4E-D760-497C-93AB-532174A17592}</x:author>
    <x:author>tc={579CAF4D-90DA-449E-987E-5B4581DC1889}</x:author>
    <x:author>tc={40A9EB6C-481C-45EB-8C8A-24498E613FA2}</x:author>
    <x:author>tc={BF45FD54-AB6E-445E-82F8-89B5EF7B6D0A}</x:author>
    <x:author>tc={CFA5ACAF-D08C-44A6-94BF-28873D90F7C4}</x:author>
    <x:author>tc={74AAF12B-D46F-45BF-B9EA-B822490049CD}</x:author>
    <x:author>tc={698644B5-6B39-4FCD-A9EF-BB447AE72D41}</x:author>
    <x:author>tc={67B6C14D-F107-4142-9C33-1E1EB746AFA2}</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6.xml><?xml version="1.0" encoding="utf-8"?>
<x:comments xmlns:x="http://schemas.openxmlformats.org/spreadsheetml/2006/main">
  <x:authors>
    <x:author>tc={A51B9769-7FC2-45A7-8BD5-99FA362277BA}</x:author>
    <x:author>tc={3D6AFAB3-6ADD-41C8-B8C5-B7F5AF42FD28}</x:author>
    <x:author>tc={DC8F5681-DDBB-4E51-8AE7-193B257F0D4B}</x:author>
    <x:author>tc={B92E9A52-71AF-4397-808B-A84E289B2BA4}</x:author>
    <x:author>tc={CB19C6E5-12D4-4843-B570-EA8A2E8F478A}</x:author>
    <x:author>tc={BAC97241-DBCA-4B56-9111-C34ABE40D234}</x:author>
    <x:author>tc={31A032B2-F518-4926-9193-AFB06430894E}</x:author>
    <x:author>tc={74330857-5240-4AB8-B08D-C3AF197EEBCB}</x:author>
    <x:author>tc={E653BE5B-FBB8-4096-96D6-ED6A7ADEC537}</x:author>
    <x:author>tc={4BDD66CA-4ED0-4E98-B27D-3846A1CA235A}</x:author>
    <x:author>tc={73153895-97AE-4416-9D34-AD98CA6A49D0}</x:author>
    <x:author>tc={3BBB0372-DDBD-46E2-8B3B-B4A7084541BB}</x:author>
    <x:author>tc={F1CBB2B9-8068-4E94-BF2C-D04C940AB630}</x:author>
    <x:author>tc={14B4A0A8-E3CF-4CD7-847F-79B3CEC91344}</x:author>
    <x:author>tc={ECF26E3D-1C6E-4993-BF66-663BD10A96A7}</x:author>
    <x:author>tc={6FF3C272-68EF-4702-A020-8077A5E8DBA4}</x:author>
    <x:author>tc={6FFBCFC2-F0FC-4C92-A8BF-0CDCE863D73A}</x:author>
    <x:author>tc={60A4F567-51AB-437F-A2BF-441F84B59284}</x:author>
    <x:author>tc={30213C93-AD49-4D68-8C1E-7C02CAE6AA57}</x:author>
    <x:author>tc={6E2501C2-0C69-4260-9AFE-0515EDCDCB95}</x:author>
    <x:author>tc={6FFB5487-EB5B-4B6B-B6BB-C8BD75805057}</x:author>
    <x:author>tc={0DE3641B-7738-49C5-9778-FD16517A8ECF}</x:author>
    <x:author>tc={5CC7B4EA-8A55-4BAD-8191-8AE761DDCC09}</x:author>
    <x:author>tc={3D788DC7-0E51-42B7-B84E-DD4994124176}</x:author>
    <x:author>tc={7AFFC01A-AF36-46F4-BF93-98FA4BE963A4}</x:author>
    <x:author>tc={CEAD3B24-2B8F-4D3E-AA2D-2A5992C46328}</x:author>
    <x:author>tc={610DCCB7-21EA-44C3-A720-D3A1BCE667B5}</x:author>
    <x:author>tc={855DF7B1-E368-4146-BA14-2E784EA0E79E}</x:author>
    <x:author>tc={FFB9596E-B304-40EA-BDCD-7B9A34ED1807}</x:author>
    <x:author>tc={F0236D01-C5E2-4BE2-918B-05408F1B6713}</x:author>
    <x:author>tc={65082073-0D6A-4996-B3B4-805DD85947DE}</x:author>
    <x:author>tc={7651F35C-7D4D-4F53-BF08-CE5066FA039B}</x:author>
    <x:author>tc={CBE075C2-3EC1-4149-8467-F183DB8C6726}</x:author>
    <x:author>tc={772F3340-58CD-4E77-BA97-EB6D43004DEE}</x:author>
    <x:author>tc={679F220C-CA0B-4AD8-8D2C-C691981E0D51}</x:author>
    <x:author>tc={441B892D-B3DF-4518-AC31-021336DCAA00}</x:author>
    <x:author>tc={39A9EE61-9B0A-496D-8298-CF003FA5A9FD}</x:author>
    <x:author>tc={F1248918-8EA4-4E29-84BA-F52521350E67}</x:author>
    <x:author>tc={55AEC896-155D-48EE-BFC2-B20ECBFED64A}</x:author>
    <x:author>tc={51746550-CE42-4285-91E8-639703BFD7BD}</x:author>
    <x:author>tc={6F42F1D1-0A28-4FB6-83E8-61D88CD71F93}</x:author>
    <x:author>tc={6D887958-EEEA-45DF-9079-DEA6A4AB0FB0}</x:author>
    <x:author>tc={6230C372-DE6F-4F52-95F4-27B05DB8F0A9}</x:author>
    <x:author>tc={75A8BE70-8E2E-4D72-A49C-5E42FD0783C8}</x:author>
    <x:author>tc={EE6717FA-498C-446C-BAD4-3576BE99242E}</x:author>
    <x:author>tc={CC23F288-24FC-482E-B9EC-ACD347F5638B}</x:author>
    <x:author>tc={A0E88E37-29A9-495F-9C0B-1B5277E49C9D}</x:author>
    <x:author>tc={3AEFA85B-9B6C-40E1-9D0E-C9AFAC590805}</x:author>
    <x:author>tc={7E187F29-5A17-4BE7-AEC4-B03AA7A7BBFF}</x:author>
    <x:author>tc={B1381FE4-9767-44D4-8CB6-6C3DD70ED2B0}</x:author>
    <x:author>tc={C41130B2-F123-458D-B80E-0B42FFEBB21A}</x:author>
    <x:author>tc={03E8E354-5E8E-4BA6-B887-1E1CDACCC01E}</x:author>
    <x:author>tc={4E2126AD-3F11-42E7-8CD5-3BEA0514111A}</x:author>
    <x:author>tc={A71A34D0-A05A-4D2F-A166-FCDA0F00B413}</x:author>
    <x:author>tc={DBD54A39-A679-48FD-A275-EEDCE9E43B05}</x:author>
    <x:author>tc={C7AF5B96-A8FA-4269-9F92-05A1153EC113}</x:author>
    <x:author>tc={83A93654-C933-45FA-B6E0-9D7437B534C5}</x:author>
    <x:author>tc={2BB3B4DA-EE4D-48EB-AE87-80C58FDE91B0}</x:author>
    <x:author>tc={5DD007F7-BB66-4E18-8FE1-B7768FB2D9AD}</x:author>
    <x:author>tc={C564A768-806B-4365-9A23-99F2689922A0}</x:author>
    <x:author>tc={9B47FF77-8D8B-4974-B173-16CB5E82F5C3}</x:author>
    <x:author>tc={FA88409A-F3F6-4287-BF23-C1151A800CD7}</x:author>
    <x:author>tc={A7125746-5636-4E9C-A242-2C76BF0B8FBB}</x:author>
    <x:author>tc={83C68DE1-2E63-4856-9C9D-54D6BB59B4FD}</x:author>
    <x:author>tc={E7D59E32-9555-4429-B7B6-06F39C3B84C9}</x:author>
    <x:author>tc={F47A8D32-DD2C-4E59-89BA-579DEE63A33E}</x:author>
    <x:author>tc={2175114B-C8B5-4E12-9FF7-19511C4008AB}</x:author>
    <x:author>tc={F60B9A42-C0F2-4268-A6CA-BE8E3F49B2FD}</x:author>
    <x:author>tc={A9493FD1-4F68-44E7-8DA3-04EED92B336C}</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7.xml><?xml version="1.0" encoding="utf-8"?>
<x:comments xmlns:x="http://schemas.openxmlformats.org/spreadsheetml/2006/main">
  <x:authors>
    <x:author>tc={0E940955-F058-4812-A81B-EB71DA7F104E}</x:author>
    <x:author>tc={AA24DEA3-9CF5-4147-BE50-677D15290A08}</x:author>
    <x:author>tc={AE7DB680-21F4-4A07-B7F9-DE8A376FE530}</x:author>
    <x:author>tc={CA4658E1-A066-49F0-BAAF-2EB4B10C5523}</x:author>
    <x:author>tc={3568230A-F0EE-41D3-9A58-F153C1EE5011}</x:author>
    <x:author>tc={2AF6C0F4-C0DD-43E3-9C0D-276B8979C07F}</x:author>
    <x:author>tc={A287562D-A37A-4E0B-8D57-BCC2468D7617}</x:author>
    <x:author>tc={1EC42251-B017-417C-B061-6139227E4236}</x:author>
    <x:author>tc={C9056870-C449-47F5-8180-DB1032F406B8}</x:author>
    <x:author>tc={8524062D-45CC-4B78-9D56-C8A2B5A4BF72}</x:author>
    <x:author>tc={7ECA5118-EAE7-49F2-90F7-94D2F9E495B6}</x:author>
    <x:author>tc={405D381F-77DF-4D1C-BD60-983DDC63137B}</x:author>
    <x:author>tc={4BF806FE-8F4E-405F-A46C-FDBCAA4C00A5}</x:author>
    <x:author>tc={6D85324A-4B44-4F43-8E80-073E59AA08D2}</x:author>
    <x:author>tc={224A89CF-7869-400F-8455-512259E93509}</x:author>
    <x:author>tc={3A6214F4-E6AD-4972-A045-C9C6059DCC6E}</x:author>
    <x:author>tc={64FFF769-A65D-4E0B-948A-47E5D827AA4A}</x:author>
    <x:author>tc={B5FE5E5C-416A-47BC-A4F5-B4F92042A963}</x:author>
    <x:author>tc={FCBECB09-FF05-445C-A2D0-14F0C0877AF9}</x:author>
    <x:author>tc={B46F1486-3B74-4194-94BE-E47670BB7D7B}</x:author>
    <x:author>tc={034137C8-F7F5-4A6A-AB15-FD3315B412D5}</x:author>
    <x:author>tc={F8DB93EC-62F7-4329-88B3-1001F0F0B1C1}</x:author>
    <x:author>tc={A5F34E27-7AC8-4477-AB45-795E031C8F1A}</x:author>
    <x:author>tc={B0E1AAAE-59FD-49F8-98AA-DC161BDC6CD3}</x:author>
    <x:author>tc={60E89813-2957-4182-82A9-98231937BB03}</x:author>
    <x:author>tc={CAD2D85C-1DCC-4391-9E15-38C672568828}</x:author>
    <x:author>tc={C70E3541-8991-41FC-99FA-7E9CD65ED3D1}</x:author>
    <x:author>tc={C61C05EB-DC64-489C-B024-C700C51D4943}</x:author>
    <x:author>tc={3E4BAA0A-98ED-4410-93FE-954734B827C2}</x:author>
    <x:author>tc={E5E21654-469A-4880-8B7B-17CC47469303}</x:author>
    <x:author>tc={5D1ABC08-9110-4F4E-BE40-86BB59224D54}</x:author>
    <x:author>tc={2E980060-AD9D-4D50-924A-F0AF88CE354D}</x:author>
    <x:author>tc={942ACAF8-25C3-4A9B-8D82-C3F2F2594879}</x:author>
    <x:author>tc={CF24735F-8BC6-46DD-BDA4-27F025AF551A}</x:author>
    <x:author>tc={E4339A40-07EA-434C-98F9-C829810F06AB}</x:author>
    <x:author>tc={DEF75E7A-B6AF-4E05-90A3-720149D8A50B}</x:author>
    <x:author>tc={06509823-CE47-4F8E-B2DA-EF27CB194DFC}</x:author>
    <x:author>tc={DA63E276-16F3-4EB8-A47C-3E716B574523}</x:author>
    <x:author>tc={802A71C9-DA56-4C4B-8B9B-45FBECF7FC06}</x:author>
    <x:author>tc={33C63A42-B5B2-4794-9277-41C95DDEBEFD}</x:author>
    <x:author>tc={47E01A53-BAE9-465C-B41F-4062BE0526C4}</x:author>
    <x:author>tc={25989DDB-594A-4464-A93A-53761001EC83}</x:author>
    <x:author>tc={DE03AC0E-FB84-40A3-8514-494D8EE7BD3C}</x:author>
    <x:author>tc={DB980161-A666-4F27-A257-F4B64A0A488C}</x:author>
    <x:author>tc={C6BBD9E8-9452-46E7-AEE7-862352D123AD}</x:author>
    <x:author>tc={4F3279E0-F9A3-425E-BC67-6473F20B55E3}</x:author>
    <x:author>tc={42A2E12B-CA88-4596-A1AD-BEBC45470C33}</x:author>
    <x:author>tc={D6D7F675-F9F9-4427-A9C5-A5D37EF7C354}</x:author>
    <x:author>tc={7F35DBDD-A1DB-4F5A-9D98-2533BCE8EF43}</x:author>
    <x:author>tc={F8FAAFF5-8B4C-471C-B77A-8D75369AAC0E}</x:author>
    <x:author>tc={7021DD87-DAC7-428C-A5F7-F862A2A9108A}</x:author>
    <x:author>tc={07609A67-C98E-440E-90C0-A27EA4FFDC01}</x:author>
    <x:author>tc={73BF42D4-4B83-49E5-B458-1B84DE02C116}</x:author>
    <x:author>tc={C3C58E4C-CD9A-4658-A0DF-7043A1DE09D5}</x:author>
    <x:author>tc={43FA9F6A-89A3-4A1C-A59A-580FD1618254}</x:author>
    <x:author>tc={9F56BF26-687A-4479-BC42-8ED10FC6F396}</x:author>
    <x:author>tc={B2752220-7E61-46D5-B2FB-6602B3605A10}</x:author>
    <x:author>tc={CAFD10B1-FDF8-47A9-A6F1-78FECBE1B378}</x:author>
    <x:author>tc={A6436060-F5E5-4C44-9906-DC27F64E2664}</x:author>
    <x:author>tc={E8A6F995-A62D-439F-A12D-3930DC5F6D65}</x:author>
    <x:author>tc={256654AF-194A-4669-8634-DCAD350BE64D}</x:author>
    <x:author>tc={A49BA5F2-C49E-4F00-86BD-DC45437FFA8C}</x:author>
    <x:author>tc={309A3417-C8AA-4853-BB76-25422937BC27}</x:author>
    <x:author>tc={C29164A4-55E5-4DB5-9BDB-5836ACEB4ADA}</x:author>
    <x:author>tc={FFCF6BBD-AFD3-4004-B5FF-2A83EDEDF90C}</x:author>
    <x:author>tc={873B538B-CF78-4C8F-9750-B807BB4ABFA8}</x:author>
    <x:author>tc={95FECFA3-AB06-477E-9EE8-14A570B6B955}</x:author>
    <x:author>tc={0FB58A7F-0B36-461F-A4BD-9FC6A9E50A5B}</x:author>
    <x:author>tc={32B1F9B3-D0FE-44FA-9D4E-749FD47B5A55}</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8.xml><?xml version="1.0" encoding="utf-8"?>
<x:comments xmlns:x="http://schemas.openxmlformats.org/spreadsheetml/2006/main">
  <x:authors>
    <x:author>tc={B9531C93-95BC-43D8-BAB2-1F80ECB533B1}</x:author>
    <x:author>tc={DF97431E-9365-4564-AF19-655F87145D7B}</x:author>
    <x:author>tc={8B702DE0-907B-4C35-8EDE-5C43734E75FD}</x:author>
    <x:author>tc={9BBE4A05-623C-4A01-B205-DF80D4F3DB21}</x:author>
    <x:author>tc={A14B5897-700E-423A-98BE-2CD9BEF4C09C}</x:author>
    <x:author>tc={0F8A3303-45B5-4B3F-9C4C-D732BBAF4709}</x:author>
    <x:author>tc={FCEE7608-00C1-4365-B439-B6E2CD0F3898}</x:author>
    <x:author>tc={A78EBFEE-49D9-4DAF-AE53-D6C2ED639EAD}</x:author>
    <x:author>tc={093F1DED-DBF6-4FDB-B5EA-6A634E8EF68B}</x:author>
    <x:author>tc={4551008F-E01D-49F7-9AC1-9F3414AAB403}</x:author>
    <x:author>tc={EBA1CDB9-FC49-45EA-B008-B9B67E832009}</x:author>
    <x:author>tc={B988B727-7EF7-4CB2-A487-3C27946B5CB0}</x:author>
    <x:author>tc={20D5BC1D-0943-4827-B7E5-25179FEED08B}</x:author>
    <x:author>tc={2AC56EF9-8C3A-42F5-8AF0-7522BF5BE8AC}</x:author>
    <x:author>tc={5FA08496-CD72-4EB5-98E1-D5D101B3D400}</x:author>
    <x:author>tc={F27E81CF-826F-4430-9330-3CBD759A5280}</x:author>
    <x:author>tc={1C98A5DA-0978-4070-9B9D-CFEF84F0513F}</x:author>
    <x:author>tc={966EB8E5-8F75-442E-9058-2B51D4A3ED26}</x:author>
    <x:author>tc={CD372444-798C-40E7-B13A-723A00156630}</x:author>
    <x:author>tc={75142AB5-3A4A-4705-9EF5-1B07DF2ECEE8}</x:author>
    <x:author>tc={631CA164-F683-48F2-BC47-5CAB2DBB90EF}</x:author>
    <x:author>tc={CFEB93B4-2C35-478E-9BC5-586F3882F737}</x:author>
    <x:author>tc={480CF2A2-9628-4148-93F8-AE9AAEF30CBB}</x:author>
    <x:author>tc={ED90BFEB-5EE0-4288-8727-51A24ADFA0F5}</x:author>
    <x:author>tc={649F573B-A5A6-4101-92FF-4C183EDEC30B}</x:author>
    <x:author>tc={ECC0D8D9-D79C-4CD9-9032-F3D99A442DC5}</x:author>
    <x:author>tc={8EF9A47A-38E1-40A6-84DA-8909EF40DEC9}</x:author>
    <x:author>tc={CA917C33-F1C1-4281-A19E-D2E583E45C45}</x:author>
    <x:author>tc={FA4909C7-C9DD-4117-8DE4-9415D3FC9EBA}</x:author>
    <x:author>tc={09174AE3-CEED-4C3A-885E-4B541EAF2DC5}</x:author>
    <x:author>tc={5317E452-E502-4631-9524-4E9BBD0B214D}</x:author>
    <x:author>tc={6358F020-2539-4B69-B634-B922A7E2A8CF}</x:author>
    <x:author>tc={82C6A5EE-7324-4C01-9D98-7531BD9F4E6F}</x:author>
    <x:author>tc={24BFAF40-B9F8-4E4A-B907-59A94827DCCF}</x:author>
    <x:author>tc={80A46DF5-C60C-4BB0-AA7A-C2236CDB04C5}</x:author>
    <x:author>tc={F09B6C0F-6B6A-4713-8808-06CAC93CBDE5}</x:author>
    <x:author>tc={1811ABEE-5194-49C3-9C92-55B59194B060}</x:author>
    <x:author>tc={313733B7-5512-423A-AF6B-5496DB4774DE}</x:author>
    <x:author>tc={2CAF08B5-1C93-496F-A0E7-2586DEE8EB37}</x:author>
    <x:author>tc={1FD62BE3-7213-4B7F-9E77-F349E4969207}</x:author>
    <x:author>tc={19CDF496-6DBF-4886-9C23-AFCB166774C4}</x:author>
    <x:author>tc={258CCF94-79F9-4CF4-9FBB-44F2F46B363E}</x:author>
    <x:author>tc={6626D136-D27C-43E2-904A-7A7F8F24CD79}</x:author>
    <x:author>tc={D9B227C0-D597-4E65-B8DA-55E5C0AE5F0A}</x:author>
    <x:author>tc={A707128F-D39B-4017-AE99-1CE3BA6D9DA5}</x:author>
    <x:author>tc={9C8B6E15-A489-4488-9DF9-E995FA814232}</x:author>
    <x:author>tc={66533727-1092-43DD-9C84-9D6DE65D62BA}</x:author>
    <x:author>tc={EAE20F17-925F-4B25-84D4-3CC9B68F493B}</x:author>
    <x:author>tc={6CBBDCF1-C2F4-4C95-B8DB-793BC462E875}</x:author>
    <x:author>tc={7BBD8967-B01B-499C-BB45-04910DC4EDBD}</x:author>
    <x:author>tc={08DF343A-52BD-4E29-BE9F-BC886246C662}</x:author>
    <x:author>tc={65163CA3-E105-4509-BA71-ACCC1DD0713E}</x:author>
    <x:author>tc={E9BAC63E-E31C-490B-A7F2-B2612209AA76}</x:author>
    <x:author>tc={18FF4922-6B7C-4A06-ABA7-C8A98648FE8E}</x:author>
    <x:author>tc={FDC64F5C-DDBB-4D62-BCEE-A1F5FA011AE4}</x:author>
    <x:author>tc={1CAEFD0E-2C59-4461-8CB1-4A865DBA155C}</x:author>
    <x:author>tc={17127F1C-3B9F-481C-B14C-1CBA787EF168}</x:author>
    <x:author>tc={93E9CFBE-EFCD-4F51-A368-042918E26FC7}</x:author>
    <x:author>tc={FC77A502-6571-4A52-95F7-EA6D243E8848}</x:author>
    <x:author>tc={95938941-6987-46D6-95FC-5166AB27DA30}</x:author>
    <x:author>tc={55DDB71A-5077-415F-BE18-0C3BC3AEA89D}</x:author>
    <x:author>tc={CA4BF999-31AB-481D-8CA4-3443FF72BD31}</x:author>
    <x:author>tc={AE1EA612-341D-431A-BA40-5C1C7B436034}</x:author>
    <x:author>tc={F3FABF4A-D905-4707-8F12-E68CD29B4167}</x:author>
    <x:author>tc={E462ABA0-D117-4D75-AC11-E0767FF2C855}</x:author>
    <x:author>tc={0713BF6E-F520-4384-810D-89F6EF5CEA12}</x:author>
    <x:author>tc={25073F42-5EDF-4209-903E-440362989C31}</x:author>
    <x:author>tc={E05CFCC4-D46F-4F25-B3BC-94571DBCF269}</x:author>
    <x:author>tc={70F1C457-C0BE-4B69-B71D-A5A0B1CADFC1}</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9.xml><?xml version="1.0" encoding="utf-8"?>
<x:comments xmlns:x="http://schemas.openxmlformats.org/spreadsheetml/2006/main">
  <x:authors>
    <x:author>tc={E13FDC46-578D-45DD-8B41-44F0FB51C9CC}</x:author>
    <x:author>tc={B49EAB82-33CA-472A-BE5B-503CCE982B18}</x:author>
    <x:author>tc={7E96CCBB-527F-4BE0-95A7-7E9BE7CAE2D1}</x:author>
    <x:author>tc={5A30A57C-1A01-4DD5-A45B-E2A73AF47DAA}</x:author>
    <x:author>tc={5A9430EB-4B6B-4469-86C9-0B1761034160}</x:author>
    <x:author>tc={4E0F84C1-31FE-465F-A44C-735E020DA793}</x:author>
    <x:author>tc={ECBACEDF-AA3A-4DAC-9442-5632C12F7BBB}</x:author>
    <x:author>tc={F5B3FAA3-3BF8-4596-88BD-0EBDFCFF052F}</x:author>
    <x:author>tc={9D7A8F8D-5C9B-4580-A6A9-50A7F33F3FA0}</x:author>
    <x:author>tc={5ACDF1FC-AD8C-4E55-8648-CA788E5575B0}</x:author>
    <x:author>tc={2800C001-9BB8-478F-A217-06D7BC512173}</x:author>
    <x:author>tc={0E57719B-B9E4-4D7A-A7D9-CC4D15177CE0}</x:author>
    <x:author>tc={DD546D93-D979-4CBA-87AE-199E638AE5D0}</x:author>
    <x:author>tc={CC40D0AB-851E-47A9-9AF0-FBDB912E140B}</x:author>
    <x:author>tc={CFD4AE73-D051-4901-9883-975C70EFC826}</x:author>
    <x:author>tc={33A9744A-862C-4DB4-91CA-9ADB407B7EEC}</x:author>
    <x:author>tc={840321AA-D7EA-4F25-8424-918C0FA7718F}</x:author>
    <x:author>tc={FACA8EE1-69F1-4BDE-B9B4-433BC2C42C21}</x:author>
    <x:author>tc={0E10491F-9317-4B69-8720-8FEA1DD99F5A}</x:author>
    <x:author>tc={A9DE39A2-D075-47F4-83A3-69F73F218DF3}</x:author>
    <x:author>tc={61A51F3C-5397-47E3-9D4D-B3B5600E89A4}</x:author>
    <x:author>tc={3B8C7164-4D6B-455F-A0AD-08434F349E04}</x:author>
    <x:author>tc={7785A539-FC5E-4977-916A-552A2A52CF46}</x:author>
    <x:author>tc={BDE78601-1E03-40BD-B746-F638BCE5D37B}</x:author>
    <x:author>tc={D366574A-AC01-40EA-A395-DDCE02DAA558}</x:author>
    <x:author>tc={25BB196F-6013-493D-B83C-97EF02FCFD1D}</x:author>
    <x:author>tc={3855A4E2-3222-4E93-9C8E-F1A7AEFE8A66}</x:author>
    <x:author>tc={FADDD2A8-CF2A-4A15-8611-A3CBB9D25CC1}</x:author>
    <x:author>tc={FD7480B7-DBF5-4C43-B301-C2C102ED6D4C}</x:author>
    <x:author>tc={1037E083-1289-41A8-8368-386B67A0B5CF}</x:author>
    <x:author>tc={E4935627-8489-45C6-AA49-96B9C7B83DD8}</x:author>
    <x:author>tc={2D9AD124-268D-40B3-A7C9-0EF934169F11}</x:author>
    <x:author>tc={40066A7C-C239-4C72-994E-1248E81F33E3}</x:author>
    <x:author>tc={5DC1A7DB-9C67-48EC-BC00-A749F576ABAA}</x:author>
    <x:author>tc={1BE99B03-50B7-41D9-9948-7160D616A6DD}</x:author>
    <x:author>tc={36750BED-657B-4BCA-B776-220C1A477148}</x:author>
    <x:author>tc={56AC080E-ADA9-43CD-A2DB-04F381B8A1BB}</x:author>
    <x:author>tc={6A4D3BF6-5584-4A7E-AE04-BF4C374F42F6}</x:author>
    <x:author>tc={5D7457D9-C61E-4678-A383-3621B6764743}</x:author>
    <x:author>tc={D6F12979-2CAD-4A97-A226-E09F9A3BCE38}</x:author>
    <x:author>tc={29AACEE3-DE37-47A5-A79B-E2C42ECB173D}</x:author>
    <x:author>tc={1914B75B-91F4-492C-8A98-8636F46104B7}</x:author>
    <x:author>tc={FAF5068A-24D0-4882-B77E-B6F0A43EA8C0}</x:author>
    <x:author>tc={BD0301A5-834C-48EE-BAB4-C3331DAD3D4F}</x:author>
    <x:author>tc={B2A818AF-A5A0-4394-B22E-2FAA410E0C85}</x:author>
    <x:author>tc={76513F01-F539-4ABF-A6E7-05C7456A9932}</x:author>
    <x:author>tc={77D855F3-5199-423D-89F7-862A1361E0DC}</x:author>
    <x:author>tc={D55A87CD-9472-4AB8-9793-90D6E5EAFE0D}</x:author>
    <x:author>tc={4676E72E-E77E-4EA4-8D11-F55C063898DF}</x:author>
    <x:author>tc={111C2214-B179-43C7-A72C-DFDF07FD4B48}</x:author>
    <x:author>tc={619A2BE7-5AB1-469C-BAD1-F2B0323A3109}</x:author>
    <x:author>tc={01BFBD9A-E2B3-4C18-AC21-458BCA9AA04B}</x:author>
    <x:author>tc={5322CBAA-3A14-43DA-A658-84DE8A470F21}</x:author>
    <x:author>tc={83D4FB95-EDA8-4DC2-86C5-A8726BCA3C86}</x:author>
    <x:author>tc={927EECE7-02E1-4C7D-B68E-A73D2C8A45E9}</x:author>
    <x:author>tc={3CFED6AD-C801-4D16-BBE6-72EB12627341}</x:author>
    <x:author>tc={C5500B89-3607-4E11-87FD-92BE50F43171}</x:author>
    <x:author>tc={24F0A34E-3F97-4C04-9C2C-BB9C5E912573}</x:author>
    <x:author>tc={DBA9B022-FDD6-4E06-9B3E-C1BADF94FA12}</x:author>
    <x:author>tc={8BB473AA-854B-47EC-9A48-910DD42A4643}</x:author>
    <x:author>tc={CCC6118C-6795-41C9-95B1-805B7C5C60F0}</x:author>
    <x:author>tc={8D321960-A16C-41D1-B68C-008066C68653}</x:author>
    <x:author>tc={1EE9547F-C8EA-4412-80AA-2C82023D01BA}</x:author>
    <x:author>tc={AF40AFE4-1CBA-4F16-BDE2-60E5CA2E3502}</x:author>
    <x:author>tc={14A562BD-0FEE-4043-861D-D74B40A79B76}</x:author>
    <x:author>tc={73FA2B70-3ABA-4184-B6D5-D3943EDFC744}</x:author>
    <x:author>tc={44A1322E-EA04-4C1A-8636-945CD97739B9}</x:author>
    <x:author>tc={BE5B830A-1209-4CC5-BC3D-41103E3C39C8}</x:author>
    <x:author>tc={55706CFA-3E6D-4FD3-9423-4965B63B5737}</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comments10.xml><?xml version="1.0" encoding="utf-8"?>
<x:comments xmlns:x="http://schemas.openxmlformats.org/spreadsheetml/2006/main">
  <x:authors>
    <x:author>tc={B352FF81-C4A6-4491-8E73-8EF00C9B0E30}</x:author>
    <x:author>tc={A288CD36-2AD1-4C34-AB3F-3C947C12BBB1}</x:author>
    <x:author>tc={A941E692-62ED-4A06-8550-E91FAA2CB509}</x:author>
    <x:author>tc={C4943CC3-96C5-4227-A620-BBA4B3B877C3}</x:author>
    <x:author>tc={CD887288-A99E-4C2C-8791-1E7F89750E5D}</x:author>
    <x:author>tc={F5487B70-859F-44C1-9B6B-3B080DDB156D}</x:author>
    <x:author>tc={B6EBD9F0-CAB1-4CC5-95B6-6761FCB5CDD8}</x:author>
    <x:author>tc={C964CE45-B34A-43B9-9684-3139650EB37A}</x:author>
    <x:author>tc={A8AEAE8F-6722-4BC6-B2BE-56EDFE4D698D}</x:author>
    <x:author>tc={A0F062AE-55EA-4E3F-A556-B39A89D8EBBC}</x:author>
    <x:author>tc={774C1883-0EB9-4CE3-859D-58F8911D647C}</x:author>
    <x:author>tc={1CFA83D0-C941-4F6E-8385-8A3C3C0FC8C2}</x:author>
    <x:author>tc={3E99A4BC-B561-4F2F-8767-8E0A23576BCE}</x:author>
    <x:author>tc={2137508A-72DA-4F77-8A17-A86A70E5537E}</x:author>
    <x:author>tc={D7D6ACAF-15DF-4382-8346-5332AB1D2247}</x:author>
    <x:author>tc={7626F576-95E5-4D54-9026-91E59EEE8CA5}</x:author>
    <x:author>tc={4B196B32-47E9-4BA6-AAED-A481D0C0914E}</x:author>
    <x:author>tc={21BCDAA9-E773-4C69-A1C5-0F515C9FD556}</x:author>
    <x:author>tc={463303DB-2465-45B9-BB8C-35A68861A793}</x:author>
    <x:author>tc={0BEC018D-9C4D-4C27-90F9-A8854FDD0CF7}</x:author>
    <x:author>tc={DC6CD4AE-5B0B-4ABB-971B-A45F604FE4DD}</x:author>
    <x:author>tc={06853FC6-DDE4-4AA8-8070-C0E00A279848}</x:author>
    <x:author>tc={AEA61262-DC16-4373-96EF-36563C97751F}</x:author>
    <x:author>tc={67D18637-3D89-4F5A-83BD-225224896C05}</x:author>
    <x:author>tc={19EC6B1F-4C2B-4180-9443-CF9BDDA38841}</x:author>
    <x:author>tc={5FB71773-79C0-4A36-9F17-22869D73E4E6}</x:author>
    <x:author>tc={0F756AAE-B81B-4010-8926-7368F5EC84FB}</x:author>
    <x:author>tc={7F15B887-8687-49A2-82F5-CF440B543F18}</x:author>
    <x:author>tc={E1BD358C-3179-4C47-85E1-5387479FF1F6}</x:author>
    <x:author>tc={F24B6DF1-E0AA-46BC-9C41-170513932A96}</x:author>
    <x:author>tc={A262F72C-AA49-4515-B443-FDDA1146A508}</x:author>
    <x:author>tc={3C1D268C-E451-49F0-AC83-B0FE07E61370}</x:author>
    <x:author>tc={6974DBA7-B054-49F7-999E-D1AC95F3F4FE}</x:author>
    <x:author>tc={1F4C215D-168B-4C06-9BCD-A04A2C30A517}</x:author>
    <x:author>tc={1334A65A-CAD3-4110-BA25-C6945CAED000}</x:author>
    <x:author>tc={BAD820B0-2CBE-489E-AE91-BBB54EECA45A}</x:author>
    <x:author>tc={BCF37289-F3F4-4FE0-9956-90CF7B61198F}</x:author>
    <x:author>tc={951DD68D-62A9-4F7C-9095-943835ECE335}</x:author>
    <x:author>tc={05B1A4F8-C35B-417B-B539-350FD122EE9B}</x:author>
    <x:author>tc={7C79EF22-A34E-4AA8-B3A4-402A288A3647}</x:author>
    <x:author>tc={D483402E-D82F-4DD4-B4E1-03FFBFCCFE84}</x:author>
    <x:author>tc={7E4595D6-F3DE-4DF9-A48D-C28F7995F93F}</x:author>
    <x:author>tc={52712200-098D-4077-A1B1-A5FF1B307FAB}</x:author>
    <x:author>tc={BAEE4CD1-9E96-4B5A-9283-82C1C92949BC}</x:author>
    <x:author>tc={AA02D2B7-7A1A-41BE-B9D6-D3E2161E010A}</x:author>
    <x:author>tc={7049DC88-DD2A-4E1E-9FB6-BEF428768230}</x:author>
    <x:author>tc={13A8CD60-0713-49CA-BF2C-B4199AF291B6}</x:author>
    <x:author>tc={F27F0064-F295-42C8-9F59-1AB27B66813D}</x:author>
    <x:author>tc={82058BBB-0041-44E6-BB4B-AA045406BB5F}</x:author>
    <x:author>tc={5CF3A4E9-801D-40A7-9E6E-33C6F85ECD29}</x:author>
    <x:author>tc={88DBDDF9-240D-4711-8ADA-FB5351115549}</x:author>
    <x:author>tc={916C9FFC-E518-4280-A1DD-ACB0FB24AE47}</x:author>
    <x:author>tc={D7863A5A-6C87-4600-974A-527E16FC384A}</x:author>
    <x:author>tc={AC00003B-E5F1-4B93-B3E5-54A2DEC70811}</x:author>
    <x:author>tc={5A7DCB7C-B222-402C-9C28-C4ADA15B070F}</x:author>
    <x:author>tc={3AE3B240-A000-4858-A463-05A3F1400D08}</x:author>
    <x:author>tc={B8A21CE6-1B79-4F2A-A98C-3BF494724256}</x:author>
    <x:author>tc={0422B405-4CE7-4829-B5F0-815AD7AE6BCA}</x:author>
    <x:author>tc={65CFCD52-48A9-4021-ACF1-44476699C35F}</x:author>
    <x:author>tc={6ACB6375-3870-497E-9FE4-CE65814EF8D5}</x:author>
    <x:author>tc={A155912B-3F40-4B17-B141-970C167DA4AA}</x:author>
    <x:author>tc={6B0CC458-B2DA-4CBF-90FE-ED5D7D8246F4}</x:author>
    <x:author>tc={ABAE75CD-8FF1-4DDD-BC62-61BAC25BB477}</x:author>
    <x:author>tc={894D6B5C-A87C-40C6-87CD-B6CCFFCBF873}</x:author>
    <x:author>tc={2DA806E7-A91C-478C-9D55-6D9D0B627612}</x:author>
    <x:author>tc={1300A5A2-75B7-45EF-B2E0-DBF5079FFF49}</x:author>
    <x:author>tc={F060E76A-9D17-48BD-9A78-8C9D3520AC43}</x:author>
    <x:author>tc={9B2F3767-414E-432E-8911-ED65D378FF70}</x:author>
    <x:author>tc={16007955-B86F-42FA-B5D6-D8A9F8BEEEE9}</x:author>
  </x:authors>
  <x:commentList>
    <x:comment ref="D35" authorId="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48" authorId="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D60" authorId="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Tax cash begins at zero as an unresolved input, not a statement of exemption.</x:t>
        </x:r>
      </x:text>
    </x:comment>
    <x:comment ref="D61" authorId="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assumptions, Finin2min, 25 October 2026. Replace with evidence. Not a quotation, statutory calculation or guaranteed forecast.</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9" authorId="5">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0" authorId="6">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2" authorId="8">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3" authorId="9">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4" authorId="10">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5" authorId="11">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6" authorId="12">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7" authorId="13">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8" authorId="14">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19" authorId="15">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0" authorId="16">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1" authorId="17">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2" authorId="18">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3" authorId="19">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4" authorId="20">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5" authorId="21">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6" authorId="22">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7" authorId="23">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B28" authorId="24">
      <x:text>
        <x:r>
          <x:t>[Threaded comment]
Your version of Excel allows you to read this threaded comment; however, any edits to it will get removed if the file is opened in a newer version of Excel. Learn more: https://go.microsoft.com/fwlink/?linkid=870924
Comment:
    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t>
        </x:r>
      </x:text>
    </x:comment>
    <x:comment ref="E35" authorId="2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35" authorId="2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35" authorId="2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35" authorId="2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35" authorId="2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35" authorId="3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35" authorId="3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35" authorId="3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35" authorId="3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35" authorId="3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35" authorId="3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48" authorId="3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48" authorId="3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48" authorId="3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48" authorId="3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48" authorId="4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48" authorId="4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48" authorId="4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48" authorId="4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48" authorId="4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48" authorId="4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48" authorId="4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E60" authorId="4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F60" authorId="4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G60" authorId="4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H60" authorId="5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I60" authorId="5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J60" authorId="5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K60" authorId="5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L60" authorId="5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M60" authorId="5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N60" authorId="5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O60" authorId="5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Zero tax cash is an unresolved input, not exemption.</x:t>
        </x:r>
      </x:text>
    </x:comment>
    <x:comment ref="E61" authorId="5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F61" authorId="59">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G61" authorId="60">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H61" authorId="61">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I61" authorId="62">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J61" authorId="63">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K61" authorId="64">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L61" authorId="65">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M61" authorId="66">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N61" authorId="67">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 ref="O61" authorId="68">
      <x:text>
        <x:r>
          <x:t>[Threaded comment]
Your version of Excel allows you to read this threaded comment; however, any edits to it will get removed if the file is opened in a newer version of Excel. Learn more: https://go.microsoft.com/fwlink/?linkid=870924
Comment:
    Source: original illustrative planning assumption, Finin2min, 25 October 2026; replace with actual operating or funding evidence. Not a quotation, statutory amount or guaranteed forecast.</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Red](#,##0);&quot;-&quot;"/>
    <x:numFmt numFmtId="201" formatCode="0.0%;[Red](0.0%);&quot;-&quot;"/>
    <x:numFmt numFmtId="202" formatCode="0.00&quot;x&quot;"/>
  </x:numFmts>
  <x:fonts count="15">
    <x:font>
      <x:sz val="11"/>
      <x:name val="Carlito"/>
    </x:font>
    <x:font>
      <x:sz val="10"/>
      <x:color rgb="FF17334B"/>
      <x:name val="Calibri"/>
    </x:font>
    <x:font>
      <x:b/>
      <x:sz val="18"/>
      <x:color rgb="FFFFFFFF"/>
      <x:name val="Calibri"/>
    </x:font>
    <x:font>
      <x:b/>
      <x:sz val="10"/>
      <x:color rgb="FF76591A"/>
      <x:name val="Calibri"/>
    </x:font>
    <x:font>
      <x:b/>
      <x:sz val="10"/>
      <x:color rgb="FFFFFFFF"/>
      <x:name val="Calibri"/>
    </x:font>
    <x:font>
      <x:sz val="10"/>
      <x:color rgb="FF0000FF"/>
      <x:name val="Calibri"/>
    </x:font>
    <x:font>
      <x:sz val="10"/>
      <x:color rgb="FF000000"/>
      <x:name val="Calibri"/>
    </x:font>
    <x:font>
      <x:b/>
      <x:sz val="10"/>
      <x:color rgb="FF000000"/>
      <x:name val="Calibri"/>
    </x:font>
    <x:font>
      <x:b/>
      <x:sz val="19"/>
      <x:color rgb="FFFFFFFF"/>
      <x:name val="Calibri"/>
    </x:font>
    <x:font>
      <x:sz val="10"/>
      <x:color rgb="FF008000"/>
      <x:name val="Calibri"/>
    </x:font>
    <x:font>
      <x:sz val="11"/>
      <x:color rgb="FF17334B"/>
      <x:name val="Calibri"/>
    </x:font>
    <x:font>
      <x:b/>
      <x:sz val="11"/>
      <x:color rgb="FF143652"/>
      <x:name val="Calibri"/>
    </x:font>
    <x:font>
      <x:sz val="10"/>
      <x:name val="Calibri"/>
    </x:font>
    <x:font>
      <x:b/>
      <x:sz val="10"/>
      <x:color rgb="FF17334B"/>
      <x:name val="Calibri"/>
    </x:font>
    <x:font>
      <x:b/>
      <x:sz val="10"/>
      <x:color rgb="FF9A3412"/>
      <x:name val="Calibri"/>
    </x:font>
  </x:fonts>
  <x:fills count="10">
    <x:fill>
      <x:patternFill patternType="none"/>
    </x:fill>
    <x:fill>
      <x:patternFill patternType="gray125"/>
    </x:fill>
    <x:fill>
      <x:patternFill patternType="solid">
        <x:fgColor rgb="FF143652"/>
      </x:patternFill>
    </x:fill>
    <x:fill>
      <x:patternFill patternType="solid">
        <x:fgColor rgb="FFFFF3CD"/>
      </x:patternFill>
    </x:fill>
    <x:fill>
      <x:patternFill patternType="solid">
        <x:fgColor rgb="FFF0F6FF"/>
      </x:patternFill>
    </x:fill>
    <x:fill>
      <x:patternFill patternType="solid">
        <x:fgColor rgb="FFFFFF00"/>
      </x:patternFill>
    </x:fill>
    <x:fill>
      <x:patternFill patternType="solid">
        <x:fgColor rgb="FFFFF9D7"/>
      </x:patternFill>
    </x:fill>
    <x:fill>
      <x:patternFill patternType="solid">
        <x:fgColor rgb="FFEAF3F7"/>
      </x:patternFill>
    </x:fill>
    <x:fill>
      <x:patternFill patternType="solid">
        <x:fgColor rgb="FFFFF3CD"/>
      </x:patternFill>
    </x:fill>
    <x:fill>
      <x:patternFill patternType="solid">
        <x:fgColor rgb="FF143652"/>
      </x:patternFill>
    </x:fill>
  </x:fills>
  <x:borders count="2">
    <x:border/>
    <x:border/>
  </x:borders>
  <x:cellStyleXfs count="1">
    <x:xf numFmtId="0" fontId="0" fillId="0" borderId="0"/>
  </x:cellStyleXfs>
  <x:cellXfs count="129">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0" fontId="1" fillId="0" borderId="1"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x:xf numFmtId="0" fontId="2" fillId="2" borderId="1" xfId="0" applyNumberFormat="1" applyFont="1" applyFill="1" applyBorder="1" applyAlignment="1">
      <x:alignment wrapText="1"/>
    </x:xf>
    <x:xf numFmtId="0" fontId="2" fillId="2" borderId="1" xfId="0" applyNumberFormat="1" applyFont="1" applyFill="1" applyBorder="1"/>
    <x:xf numFmtId="0" fontId="1" fillId="3" borderId="0" xfId="0" applyNumberFormat="1" applyFont="1" applyFill="1" applyBorder="1" applyAlignment="1">
      <x:alignment wrapText="1"/>
    </x:xf>
    <x:xf numFmtId="0" fontId="1"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x:xf numFmtId="0" fontId="1" fillId="3" borderId="1" xfId="0" applyNumberFormat="1" applyFont="1" applyFill="1" applyBorder="1" applyAlignment="1">
      <x:alignment wrapText="1"/>
    </x:xf>
    <x:xf numFmtId="0" fontId="1"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x:xf numFmtId="0" fontId="4" fillId="2" borderId="0" xfId="0" applyNumberFormat="1" applyFont="1" applyFill="1" applyBorder="1" applyAlignment="1">
      <x:alignment wrapText="1"/>
    </x:xf>
    <x:xf numFmtId="0" fontId="4" fillId="2" borderId="1" xfId="0" applyNumberFormat="1" applyFont="1" applyFill="1" applyBorder="1" applyAlignment="1">
      <x:alignment wrapText="1"/>
    </x:xf>
    <x:xf numFmtId="0" fontId="1" fillId="4" borderId="0" xfId="0" applyNumberFormat="1" applyFont="1" applyFill="1" applyBorder="1" applyAlignment="1">
      <x:alignment wrapText="1"/>
    </x:xf>
    <x:xf numFmtId="0" fontId="5" fillId="4" borderId="0" xfId="0" applyNumberFormat="1" applyFont="1" applyFill="1" applyBorder="1" applyAlignment="1">
      <x:alignment wrapText="1"/>
    </x:xf>
    <x:xf numFmtId="0" fontId="1" fillId="4" borderId="1" xfId="0" applyNumberFormat="1" applyFont="1" applyFill="1" applyBorder="1" applyAlignment="1">
      <x:alignment wrapText="1"/>
    </x:xf>
    <x:xf numFmtId="0" fontId="5" fillId="4" borderId="1" xfId="0" applyNumberFormat="1" applyFont="1" applyFill="1" applyBorder="1" applyAlignment="1">
      <x:alignment wrapText="1"/>
    </x:xf>
    <x:xf numFmtId="200" fontId="5" fillId="4" borderId="0" xfId="0" applyNumberFormat="1" applyFont="1" applyFill="1" applyBorder="1" applyAlignment="1">
      <x:alignment wrapText="1"/>
    </x:xf>
    <x:xf numFmtId="200" fontId="5" fillId="4" borderId="1" xfId="0" applyNumberFormat="1" applyFont="1" applyFill="1" applyBorder="1" applyAlignment="1">
      <x:alignment wrapText="1"/>
    </x:xf>
    <x:xf numFmtId="201" fontId="5" fillId="4" borderId="0" xfId="0" applyNumberFormat="1" applyFont="1" applyFill="1" applyBorder="1" applyAlignment="1">
      <x:alignment wrapText="1"/>
    </x:xf>
    <x:xf numFmtId="201" fontId="5" fillId="4" borderId="1" xfId="0" applyNumberFormat="1" applyFont="1" applyFill="1" applyBorder="1" applyAlignment="1">
      <x:alignment wrapText="1"/>
    </x:xf>
    <x:xf numFmtId="202" fontId="5" fillId="4" borderId="0" xfId="0" applyNumberFormat="1" applyFont="1" applyFill="1" applyBorder="1" applyAlignment="1">
      <x:alignment wrapText="1"/>
    </x:xf>
    <x:xf numFmtId="202" fontId="5" fillId="4" borderId="1" xfId="0" applyNumberFormat="1" applyFont="1" applyFill="1" applyBorder="1" applyAlignment="1">
      <x:alignment wrapText="1"/>
    </x:xf>
    <x:xf numFmtId="200" fontId="5" fillId="5" borderId="0" xfId="0" applyNumberFormat="1" applyFont="1" applyFill="1" applyBorder="1" applyAlignment="1">
      <x:alignment wrapText="1"/>
    </x:xf>
    <x:xf numFmtId="200" fontId="5" fillId="5" borderId="1" xfId="0" applyNumberFormat="1" applyFont="1" applyFill="1" applyBorder="1" applyAlignment="1">
      <x:alignment wrapText="1"/>
    </x:xf>
    <x:xf numFmtId="0" fontId="4" fillId="2" borderId="0" xfId="0" applyNumberFormat="1" applyFont="1" applyFill="1" applyBorder="1"/>
    <x:xf numFmtId="0" fontId="4" fillId="2" borderId="1" xfId="0" applyNumberFormat="1" applyFont="1" applyFill="1" applyBorder="1"/>
    <x:xf numFmtId="0" fontId="6" fillId="0" borderId="0" xfId="0" applyNumberFormat="1" applyFont="1" applyFill="1" applyBorder="1"/>
    <x:xf numFmtId="0" fontId="6" fillId="0" borderId="1" xfId="0" applyNumberFormat="1" applyFont="1" applyFill="1" applyBorder="1"/>
    <x:xf numFmtId="200" fontId="1" fillId="0" borderId="0" xfId="0" applyNumberFormat="1" applyFont="1" applyFill="1" applyBorder="1"/>
    <x:xf numFmtId="200" fontId="6" fillId="0" borderId="0" xfId="0" applyNumberFormat="1" applyFont="1" applyFill="1" applyBorder="1"/>
    <x:xf numFmtId="200" fontId="1" fillId="0" borderId="1" xfId="0" applyNumberFormat="1" applyFont="1" applyFill="1" applyBorder="1"/>
    <x:xf numFmtId="200" fontId="6" fillId="0" borderId="1" xfId="0" applyNumberFormat="1" applyFont="1" applyFill="1" applyBorder="1"/>
    <x:xf numFmtId="201" fontId="1" fillId="0" borderId="0" xfId="0" applyNumberFormat="1" applyFont="1" applyFill="1" applyBorder="1"/>
    <x:xf numFmtId="201" fontId="1" fillId="0" borderId="1" xfId="0" applyNumberFormat="1" applyFont="1" applyFill="1" applyBorder="1"/>
    <x:xf numFmtId="201" fontId="6" fillId="0" borderId="0" xfId="0" applyNumberFormat="1" applyFont="1" applyFill="1" applyBorder="1"/>
    <x:xf numFmtId="201" fontId="6" fillId="0" borderId="1" xfId="0" applyNumberFormat="1" applyFont="1" applyFill="1" applyBorder="1"/>
    <x:xf numFmtId="201" fontId="1" fillId="6" borderId="0" xfId="0" applyNumberFormat="1" applyFont="1" applyFill="1" applyBorder="1"/>
    <x:xf numFmtId="201" fontId="5" fillId="6" borderId="0" xfId="0" applyNumberFormat="1" applyFont="1" applyFill="1" applyBorder="1"/>
    <x:xf numFmtId="201" fontId="1" fillId="6" borderId="1" xfId="0" applyNumberFormat="1" applyFont="1" applyFill="1" applyBorder="1"/>
    <x:xf numFmtId="201" fontId="5" fillId="6" borderId="1" xfId="0" applyNumberFormat="1" applyFont="1" applyFill="1" applyBorder="1"/>
    <x:xf numFmtId="200" fontId="6" fillId="6" borderId="0" xfId="0" applyNumberFormat="1" applyFont="1" applyFill="1" applyBorder="1"/>
    <x:xf numFmtId="200" fontId="5" fillId="6" borderId="0" xfId="0" applyNumberFormat="1" applyFont="1" applyFill="1" applyBorder="1"/>
    <x:xf numFmtId="200" fontId="6" fillId="6" borderId="1" xfId="0" applyNumberFormat="1" applyFont="1" applyFill="1" applyBorder="1"/>
    <x:xf numFmtId="200" fontId="5" fillId="6" borderId="1" xfId="0" applyNumberFormat="1" applyFont="1" applyFill="1" applyBorder="1"/>
    <x:xf numFmtId="0" fontId="1" fillId="7" borderId="0" xfId="0" applyNumberFormat="1" applyFont="1" applyFill="1" applyBorder="1" applyAlignment="1">
      <x:alignment wrapText="1"/>
    </x:xf>
    <x:xf numFmtId="200" fontId="6" fillId="7" borderId="0" xfId="0" applyNumberFormat="1" applyFont="1" applyFill="1" applyBorder="1"/>
    <x:xf numFmtId="0" fontId="1" fillId="7" borderId="1" xfId="0" applyNumberFormat="1" applyFont="1" applyFill="1" applyBorder="1" applyAlignment="1">
      <x:alignment wrapText="1"/>
    </x:xf>
    <x:xf numFmtId="200" fontId="6" fillId="7" borderId="1" xfId="0" applyNumberFormat="1" applyFont="1" applyFill="1" applyBorder="1"/>
    <x:xf numFmtId="0" fontId="7" fillId="7" borderId="0" xfId="0" applyNumberFormat="1" applyFont="1" applyFill="1" applyBorder="1" applyAlignment="1">
      <x:alignment wrapText="1"/>
    </x:xf>
    <x:xf numFmtId="200" fontId="7" fillId="7" borderId="0" xfId="0" applyNumberFormat="1" applyFont="1" applyFill="1" applyBorder="1"/>
    <x:xf numFmtId="0" fontId="7" fillId="7" borderId="1" xfId="0" applyNumberFormat="1" applyFont="1" applyFill="1" applyBorder="1" applyAlignment="1">
      <x:alignment wrapText="1"/>
    </x:xf>
    <x:xf numFmtId="200" fontId="7" fillId="7" borderId="1" xfId="0" applyNumberFormat="1" applyFont="1" applyFill="1" applyBorder="1"/>
    <x:xf numFmtId="200" fontId="1" fillId="0" borderId="0" xfId="0" applyNumberFormat="1" applyFont="1" applyFill="1" applyBorder="1" applyAlignment="1">
      <x:alignment wrapText="1"/>
    </x:xf>
    <x:xf numFmtId="200" fontId="1" fillId="0" borderId="1" xfId="0" applyNumberFormat="1" applyFont="1" applyFill="1" applyBorder="1" applyAlignment="1">
      <x:alignment wrapText="1"/>
    </x:xf>
    <x:xf numFmtId="200" fontId="7" fillId="0" borderId="0" xfId="0" applyNumberFormat="1" applyFont="1" applyFill="1" applyBorder="1" applyAlignment="1">
      <x:alignment wrapText="1"/>
    </x:xf>
    <x:xf numFmtId="200" fontId="7" fillId="0" borderId="1" xfId="0" applyNumberFormat="1" applyFont="1" applyFill="1" applyBorder="1" applyAlignment="1">
      <x:alignment wrapText="1"/>
    </x:xf>
    <x:xf numFmtId="0" fontId="8" fillId="2" borderId="0" xfId="0" applyNumberFormat="1" applyFont="1" applyFill="1" applyBorder="1"/>
    <x:xf numFmtId="0" fontId="8" fillId="2" borderId="1" xfId="0" applyNumberFormat="1" applyFont="1" applyFill="1" applyBorder="1"/>
    <x:xf numFmtId="200" fontId="9" fillId="0" borderId="0" xfId="0" applyNumberFormat="1" applyFont="1" applyFill="1" applyBorder="1"/>
    <x:xf numFmtId="200" fontId="9" fillId="0" borderId="1" xfId="0" applyNumberFormat="1" applyFont="1" applyFill="1" applyBorder="1"/>
    <x:xf numFmtId="0" fontId="10" fillId="0" borderId="0" xfId="0" applyNumberFormat="1" applyFont="1" applyFill="1" applyBorder="1"/>
    <x:xf numFmtId="0" fontId="10" fillId="0" borderId="1" xfId="0" applyNumberFormat="1" applyFont="1" applyFill="1" applyBorder="1"/>
    <x:xf numFmtId="0" fontId="10" fillId="2" borderId="0" xfId="0" applyNumberFormat="1" applyFont="1" applyFill="1" applyBorder="1"/>
    <x:xf numFmtId="0" fontId="10" fillId="2" borderId="1" xfId="0" applyNumberFormat="1" applyFont="1" applyFill="1" applyBorder="1"/>
    <x:xf numFmtId="0" fontId="10" fillId="0" borderId="0" xfId="0" applyNumberFormat="1" applyFont="1" applyFill="1" applyBorder="1" applyAlignment="1">
      <x:alignment wrapText="1"/>
    </x:xf>
    <x:xf numFmtId="0" fontId="10" fillId="0" borderId="1" xfId="0" applyNumberFormat="1" applyFont="1" applyFill="1" applyBorder="1" applyAlignment="1">
      <x:alignment wrapText="1"/>
    </x:xf>
    <x:xf numFmtId="0" fontId="11" fillId="0" borderId="0" xfId="0" applyNumberFormat="1" applyFont="1" applyFill="1" applyBorder="1" applyAlignment="1">
      <x:alignment wrapText="1"/>
    </x:xf>
    <x:xf numFmtId="0" fontId="11" fillId="0" borderId="1" xfId="0" applyNumberFormat="1" applyFont="1" applyFill="1" applyBorder="1" applyAlignment="1">
      <x:alignment wrapText="1"/>
    </x:xf>
    <x:xf numFmtId="0" fontId="12" fillId="0" borderId="0" xfId="0" applyNumberFormat="1" applyFont="1" applyFill="1" applyBorder="1"/>
    <x:xf numFmtId="0" fontId="12" fillId="0" borderId="0" xfId="0" applyNumberFormat="1" applyFont="1" applyFill="1" applyBorder="1" applyAlignment="1">
      <x:alignment wrapText="1"/>
    </x:xf>
    <x:xf numFmtId="0" fontId="12" fillId="0" borderId="1" xfId="0" applyNumberFormat="1" applyFont="1" applyFill="1" applyBorder="1"/>
    <x:xf numFmtId="0" fontId="12" fillId="0" borderId="1" xfId="0" applyNumberFormat="1" applyFont="1" applyFill="1" applyBorder="1" applyAlignment="1">
      <x:alignment wrapText="1"/>
    </x:xf>
    <x:xf numFmtId="0" fontId="12" fillId="2" borderId="0" xfId="0" applyNumberFormat="1" applyFont="1" applyFill="1" applyBorder="1" applyAlignment="1">
      <x:alignment wrapText="1"/>
    </x:xf>
    <x:xf numFmtId="0" fontId="12" fillId="2" borderId="1" xfId="0" applyNumberFormat="1" applyFont="1" applyFill="1" applyBorder="1" applyAlignment="1">
      <x:alignment wrapText="1"/>
    </x:xf>
    <x:xf numFmtId="0" fontId="8" fillId="2"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0"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200" fontId="9" fillId="0" borderId="0" xfId="0" applyNumberFormat="1" applyFont="1" applyFill="1" applyBorder="1" applyAlignment="1">
      <x:alignment vertical="center"/>
    </x:xf>
    <x:xf numFmtId="0" fontId="8" fillId="2" borderId="1" xfId="0" applyNumberFormat="1" applyFont="1" applyFill="1" applyBorder="1" applyAlignment="1">
      <x:alignment vertical="center"/>
    </x:xf>
    <x:xf numFmtId="0" fontId="1" fillId="3" borderId="1" xfId="0" applyNumberFormat="1" applyFont="1" applyFill="1" applyBorder="1" applyAlignment="1">
      <x:alignment vertical="center" wrapText="1"/>
    </x:xf>
    <x:xf numFmtId="0" fontId="1" fillId="0" borderId="1" xfId="0" applyNumberFormat="1" applyFont="1" applyFill="1" applyBorder="1" applyAlignment="1">
      <x:alignment vertical="center"/>
    </x:xf>
    <x:xf numFmtId="0" fontId="4" fillId="2" borderId="1"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200" fontId="9" fillId="0" borderId="1" xfId="0" applyNumberFormat="1" applyFont="1" applyFill="1" applyBorder="1" applyAlignment="1">
      <x:alignment vertical="center"/>
    </x:xf>
    <x:xf numFmtId="0" fontId="2" fillId="2" borderId="0" xfId="0" applyNumberFormat="1" applyFont="1" applyFill="1" applyBorder="1" applyAlignment="1">
      <x:alignment vertical="center"/>
    </x:xf>
    <x:xf numFmtId="0" fontId="10" fillId="0" borderId="0" xfId="0" applyNumberFormat="1" applyFont="1" applyFill="1" applyBorder="1" applyAlignment="1">
      <x:alignment vertical="center"/>
    </x:xf>
    <x:xf numFmtId="0" fontId="11" fillId="0" borderId="0" xfId="0" applyNumberFormat="1" applyFont="1" applyFill="1" applyBorder="1" applyAlignment="1">
      <x:alignment vertical="center" wrapText="1"/>
    </x:xf>
    <x:xf numFmtId="0" fontId="10" fillId="0" borderId="0" xfId="0" applyNumberFormat="1" applyFont="1" applyFill="1" applyBorder="1" applyAlignment="1">
      <x:alignment vertical="center" wrapText="1"/>
    </x:xf>
    <x:xf numFmtId="0" fontId="2" fillId="2" borderId="1" xfId="0" applyNumberFormat="1" applyFont="1" applyFill="1" applyBorder="1" applyAlignment="1">
      <x:alignment vertical="center"/>
    </x:xf>
    <x:xf numFmtId="0" fontId="10" fillId="0" borderId="1" xfId="0" applyNumberFormat="1" applyFont="1" applyFill="1" applyBorder="1" applyAlignment="1">
      <x:alignment vertical="center"/>
    </x:xf>
    <x:xf numFmtId="0" fontId="11" fillId="0" borderId="1" xfId="0" applyNumberFormat="1" applyFont="1" applyFill="1" applyBorder="1" applyAlignment="1">
      <x:alignment vertical="center" wrapText="1"/>
    </x:xf>
    <x:xf numFmtId="0" fontId="10" fillId="0" borderId="1" xfId="0" applyNumberFormat="1" applyFont="1" applyFill="1" applyBorder="1" applyAlignment="1">
      <x:alignment vertical="center" wrapText="1"/>
    </x:xf>
    <x:xf numFmtId="200" fontId="5" fillId="4" borderId="0" xfId="0" applyNumberFormat="1" applyFont="1" applyFill="1" applyBorder="1" applyAlignment="1">
      <x:alignment vertical="center" wrapText="1"/>
    </x:xf>
    <x:xf numFmtId="201" fontId="5" fillId="4" borderId="0" xfId="0" applyNumberFormat="1" applyFont="1" applyFill="1" applyBorder="1" applyAlignment="1">
      <x:alignment vertical="center" wrapText="1"/>
    </x:xf>
    <x:xf numFmtId="200" fontId="5" fillId="5" borderId="0" xfId="0" applyNumberFormat="1" applyFont="1" applyFill="1" applyBorder="1" applyAlignment="1">
      <x:alignment vertical="center" wrapText="1"/>
    </x:xf>
    <x:xf numFmtId="202" fontId="5" fillId="4" borderId="0" xfId="0" applyNumberFormat="1" applyFont="1" applyFill="1" applyBorder="1" applyAlignment="1">
      <x:alignment vertical="center" wrapText="1"/>
    </x:xf>
    <x:xf numFmtId="200" fontId="5" fillId="4" borderId="1" xfId="0" applyNumberFormat="1" applyFont="1" applyFill="1" applyBorder="1" applyAlignment="1">
      <x:alignment vertical="center" wrapText="1"/>
    </x:xf>
    <x:xf numFmtId="201" fontId="5" fillId="4" borderId="1" xfId="0" applyNumberFormat="1" applyFont="1" applyFill="1" applyBorder="1" applyAlignment="1">
      <x:alignment vertical="center" wrapText="1"/>
    </x:xf>
    <x:xf numFmtId="200" fontId="5" fillId="5" borderId="1" xfId="0" applyNumberFormat="1" applyFont="1" applyFill="1" applyBorder="1" applyAlignment="1">
      <x:alignment vertical="center" wrapText="1"/>
    </x:xf>
    <x:xf numFmtId="202" fontId="5" fillId="4" borderId="1" xfId="0" applyNumberFormat="1" applyFont="1" applyFill="1" applyBorder="1" applyAlignment="1">
      <x:alignment vertical="center" wrapText="1"/>
    </x:xf>
    <x:xf numFmtId="0" fontId="0" fillId="0" borderId="0" xfId="0" applyNumberFormat="1" applyFont="1" applyFill="1" applyBorder="1"/>
    <x:xf numFmtId="0" fontId="1" fillId="8" borderId="0" xfId="0" applyNumberFormat="1" applyFont="1" applyFill="1" applyBorder="1" applyAlignment="1">
      <x:alignment wrapText="1"/>
    </x:xf>
    <x:xf numFmtId="0" fontId="13" fillId="8" borderId="0" xfId="0" applyNumberFormat="1" applyFont="1" applyFill="1" applyBorder="1" applyAlignment="1">
      <x:alignment wrapText="1"/>
    </x:xf>
    <x:xf numFmtId="0" fontId="1" fillId="8" borderId="0" xfId="0" applyNumberFormat="1" applyFont="1" applyFill="1" applyBorder="1"/>
    <x:xf numFmtId="0" fontId="1" fillId="9" borderId="0" xfId="0" applyNumberFormat="1" applyFont="1" applyFill="1" applyBorder="1"/>
    <x:xf numFmtId="0" fontId="4" fillId="9" borderId="0" xfId="0" applyNumberFormat="1" applyFont="1" applyFill="1" applyBorder="1"/>
    <x:xf numFmtId="0" fontId="0" fillId="0" borderId="0" xfId="0" applyNumberFormat="1" applyFont="1" applyFill="1" applyBorder="1" applyAlignment="1">
      <x:alignment wrapText="1"/>
    </x:xf>
    <x:xf numFmtId="0" fontId="14" fillId="8" borderId="0" xfId="0" applyNumberFormat="1" applyFont="1" applyFill="1" applyBorder="1" applyAlignment="1">
      <x:alignment wrapText="1"/>
    </x:xf>
    <x:xf numFmtId="0" fontId="14" fillId="8" borderId="0" xfId="0" applyNumberFormat="1" applyFont="1" applyFill="1" applyBorder="1"/>
    <x:xf numFmtId="0" fontId="4" fillId="9" borderId="0" xfId="0" applyNumberFormat="1" applyFont="1" applyFill="1" applyBorder="1" applyAlignment="1">
      <x:alignment wrapText="1"/>
    </x:xf>
    <x:xf numFmtId="0" fontId="10" fillId="8" borderId="0" xfId="0" applyNumberFormat="1" applyFont="1" applyFill="1" applyBorder="1"/>
    <x:xf numFmtId="0" fontId="10" fillId="8"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0" fontId="1" fillId="8" borderId="0" xfId="0" applyNumberFormat="1" applyFont="1" applyFill="1" applyBorder="1" applyAlignment="1">
      <x:alignment vertical="top" wrapText="1"/>
    </x:xf>
    <x:xf numFmtId="0" fontId="14" fillId="8" borderId="0" xfId="0" applyNumberFormat="1" applyFont="1" applyFill="1" applyBorder="1" applyAlignment="1">
      <x:alignment vertical="center" wrapText="1"/>
    </x:xf>
  </x:cellXfs>
  <x:cellStyles count="1">
    <x:cellStyle name="Normal" xfId="0"/>
  </x:cellStyles>
  <x:dxfs count="51">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ont>
        <x:color rgb="FFB91C1C"/>
      </x:font>
      <x:fill>
        <x:patternFill>
          <x:bgColor rgb="FFFDE8E8"/>
        </x:patternFill>
      </x:fill>
    </x:dxf>
    <x:dxf>
      <x:fill>
        <x:patternFill>
          <x:bgColor rgb="FFFDE8E8"/>
        </x:patternFill>
      </x:fill>
    </x:dxf>
    <x:dxf>
      <x:fill>
        <x:patternFill>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
      <x:font>
        <x:color rgb="FF9A3412"/>
      </x:font>
      <x:fill>
        <x:patternFill patternType="solid">
          <x:bgColor rgb="FFFFF3C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4d4e26651dd481d" /><Relationship Type="http://schemas.openxmlformats.org/officeDocument/2006/relationships/theme" Target="/xl/theme/theme1.xml" Id="R7d1aa19eeaac44f9" /><Relationship Type="http://schemas.openxmlformats.org/officeDocument/2006/relationships/sharedStrings" Target="/xl/sharedStrings.xml" Id="R65347d23cc854401" /><Relationship Type="http://schemas.openxmlformats.org/officeDocument/2006/relationships/worksheet" Target="/xl/worksheets/sheet1.xml" Id="R85c23c153273447b" /><Relationship Type="http://schemas.openxmlformats.org/officeDocument/2006/relationships/worksheet" Target="/xl/worksheets/sheet2.xml" Id="R9eae770113404052" /><Relationship Type="http://schemas.openxmlformats.org/officeDocument/2006/relationships/worksheet" Target="/xl/worksheets/sheet3.xml" Id="Rf9512e6e911f4a95" /><Relationship Type="http://schemas.openxmlformats.org/officeDocument/2006/relationships/worksheet" Target="/xl/worksheets/sheet4.xml" Id="R26a6b9e095dd4196" /><Relationship Type="http://schemas.openxmlformats.org/officeDocument/2006/relationships/worksheet" Target="/xl/worksheets/sheet5.xml" Id="R99898fe478954ddf" /><Relationship Type="http://schemas.openxmlformats.org/officeDocument/2006/relationships/worksheet" Target="/xl/worksheets/sheet6.xml" Id="Rcc7550d3d5ff4367" /><Relationship Type="http://schemas.openxmlformats.org/officeDocument/2006/relationships/worksheet" Target="/xl/worksheets/sheet7.xml" Id="R3da28152b04b4c9b" /><Relationship Type="http://schemas.openxmlformats.org/officeDocument/2006/relationships/worksheet" Target="/xl/worksheets/sheet8.xml" Id="R8b758e3f494d4be2" /><Relationship Type="http://schemas.openxmlformats.org/officeDocument/2006/relationships/worksheet" Target="/xl/worksheets/sheet9.xml" Id="R249307dcd6674ce2" /><Relationship Type="http://schemas.openxmlformats.org/officeDocument/2006/relationships/worksheet" Target="/xl/worksheets/sheet10.xml" Id="R72274e76eacd48ba" /><Relationship Type="http://schemas.openxmlformats.org/officeDocument/2006/relationships/worksheet" Target="/xl/worksheets/sheet11.xml" Id="Rd57248df96dd47c1" /><Relationship Type="http://schemas.openxmlformats.org/officeDocument/2006/relationships/worksheet" Target="/xl/worksheets/sheet12.xml" Id="Redc88af4e0c44233" /><Relationship Type="http://schemas.openxmlformats.org/officeDocument/2006/relationships/worksheet" Target="/xl/worksheets/sheet13.xml" Id="Rd589ea8a99a34d80" /><Relationship Type="http://schemas.openxmlformats.org/officeDocument/2006/relationships/worksheet" Target="/xl/worksheets/sheet14.xml" Id="Rfe8d944986a8447f" /><Relationship Type="http://schemas.microsoft.com/office/2017/10/relationships/person" Target="/xl/persons/person.xml" Id="Rc27480c0af5f4018" /></Relationships>
</file>

<file path=xl/drawings/_rels/drawing1.xml.rels>&#65279;<?xml version="1.0" encoding="utf-8"?><Relationships xmlns="http://schemas.openxmlformats.org/package/2006/relationships"><Relationship Type="http://schemas.openxmlformats.org/officeDocument/2006/relationships/chart" Target="/xl/drawings/charts/chart1.xml" Id="Ra67e4751c1104597" /></Relationships>
</file>

<file path=xl/drawings/_rels/drawing2.xml.rels>&#65279;<?xml version="1.0" encoding="utf-8"?><Relationships xmlns="http://schemas.openxmlformats.org/package/2006/relationships"><Relationship Type="http://schemas.openxmlformats.org/officeDocument/2006/relationships/chart" Target="/xl/drawings/charts/chart2.xml" Id="R3fc6eef9ec8f40cc" /></Relationships>
</file>

<file path=xl/drawings/_rels/drawing3.xml.rels>&#65279;<?xml version="1.0" encoding="utf-8"?><Relationships xmlns="http://schemas.openxmlformats.org/package/2006/relationships"><Relationship Type="http://schemas.openxmlformats.org/officeDocument/2006/relationships/chart" Target="/xl/drawings/charts/chart3.xml" Id="Raf4a645c5ed14db4" /></Relationships>
</file>

<file path=xl/drawings/_rels/drawing4.xml.rels>&#65279;<?xml version="1.0" encoding="utf-8"?><Relationships xmlns="http://schemas.openxmlformats.org/package/2006/relationships"><Relationship Type="http://schemas.openxmlformats.org/officeDocument/2006/relationships/chart" Target="/xl/drawings/charts/chart4.xml" Id="R5a9eb2643e964e63" /></Relationships>
</file>

<file path=xl/drawings/_rels/drawing5.xml.rels>&#65279;<?xml version="1.0" encoding="utf-8"?><Relationships xmlns="http://schemas.openxmlformats.org/package/2006/relationships"><Relationship Type="http://schemas.openxmlformats.org/officeDocument/2006/relationships/chart" Target="/xl/drawings/charts/chart5.xml" Id="Ra007c74c32934166" /></Relationships>
</file>

<file path=xl/drawings/_rels/drawing6.xml.rels>&#65279;<?xml version="1.0" encoding="utf-8"?><Relationships xmlns="http://schemas.openxmlformats.org/package/2006/relationships"><Relationship Type="http://schemas.openxmlformats.org/officeDocument/2006/relationships/chart" Target="/xl/drawings/charts/chart6.xml" Id="R458da10a852f453d" /></Relationships>
</file>

<file path=xl/drawings/_rels/drawing7.xml.rels>&#65279;<?xml version="1.0" encoding="utf-8"?><Relationships xmlns="http://schemas.openxmlformats.org/package/2006/relationships"><Relationship Type="http://schemas.openxmlformats.org/officeDocument/2006/relationships/chart" Target="/xl/drawings/charts/chart7.xml" Id="R87e77cdabb0649ab" /></Relationships>
</file>

<file path=xl/drawings/_rels/drawing8.xml.rels>&#65279;<?xml version="1.0" encoding="utf-8"?><Relationships xmlns="http://schemas.openxmlformats.org/package/2006/relationships"><Relationship Type="http://schemas.openxmlformats.org/officeDocument/2006/relationships/chart" Target="/xl/drawings/charts/chart8.xml" Id="Reea8a4ca9bae4eb5" /></Relationships>
</file>

<file path=xl/drawings/_rels/drawing9.xml.rels>&#65279;<?xml version="1.0" encoding="utf-8"?><Relationships xmlns="http://schemas.openxmlformats.org/package/2006/relationships"><Relationship Type="http://schemas.openxmlformats.org/officeDocument/2006/relationships/chart" Target="/xl/drawings/charts/chart9.xml" Id="Rba9cdaefcec349b2" /></Relationships>
</file>

<file path=xl/drawings/_rels/drawing10.xml.rels>&#65279;<?xml version="1.0" encoding="utf-8"?><Relationships xmlns="http://schemas.openxmlformats.org/package/2006/relationships"><Relationship Type="http://schemas.openxmlformats.org/officeDocument/2006/relationships/chart" Target="/xl/drawings/charts/chart10.xml" Id="R9269130151ad4f4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'PCJ-19'!$E$7:$E$18</c:f>
              <c:strCache>
                <c:ptCount val="0"/>
              </c:strCache>
            </c:strRef>
          </c:cat>
          <c:val>
            <c:numRef>
              <c:f>'PCJ-19'!$F$7:$F$18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'PCJ-20'!$E$7:$E$18</c:f>
              <c:strCache>
                <c:ptCount val="0"/>
              </c:strCache>
            </c:strRef>
          </c:cat>
          <c:val>
            <c:numRef>
              <c:f>'PCJ-20'!$F$7:$F$18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'PCJ-21'!$E$7:$E$18</c:f>
              <c:strCache>
                <c:ptCount val="0"/>
              </c:strCache>
            </c:strRef>
          </c:cat>
          <c:val>
            <c:numRef>
              <c:f>'PCJ-21'!$F$7:$F$18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'PCJ-22'!$E$7:$E$18</c:f>
              <c:strCache>
                <c:ptCount val="0"/>
              </c:strCache>
            </c:strRef>
          </c:cat>
          <c:val>
            <c:numRef>
              <c:f>'PCJ-22'!$F$7:$F$18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'PCJ-23'!$E$7:$E$18</c:f>
              <c:strCache>
                <c:ptCount val="0"/>
              </c:strCache>
            </c:strRef>
          </c:cat>
          <c:val>
            <c:numRef>
              <c:f>'PCJ-23'!$F$7:$F$18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'PCJ-24'!$E$7:$E$18</c:f>
              <c:strCache>
                <c:ptCount val="0"/>
              </c:strCache>
            </c:strRef>
          </c:cat>
          <c:val>
            <c:numRef>
              <c:f>'PCJ-24'!$F$7:$F$18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'PCJ-25'!$E$7:$E$18</c:f>
              <c:strCache>
                <c:ptCount val="0"/>
              </c:strCache>
            </c:strRef>
          </c:cat>
          <c:val>
            <c:numRef>
              <c:f>'PCJ-25'!$F$7:$F$18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8.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'PCJ-26'!$E$7:$E$18</c:f>
              <c:strCache>
                <c:ptCount val="0"/>
              </c:strCache>
            </c:strRef>
          </c:cat>
          <c:val>
            <c:numRef>
              <c:f>'PCJ-26'!$F$7:$F$18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9.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'PCJ-27'!$E$7:$E$18</c:f>
              <c:strCache>
                <c:ptCount val="0"/>
              </c:strCache>
            </c:strRef>
          </c:cat>
          <c:val>
            <c:numRef>
              <c:f>'PCJ-27'!$F$7:$F$18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10.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gaps are not auto-funded</a:t>
            </a:r>
          </a:p>
        </c:rich>
      </c:tx>
      <c:overlay val="0"/>
    </c:title>
    <c:plotArea>
      <c:lineChart>
        <c:grouping val="standard"/>
        <c:varyColors val="0"/>
        <c:ser>
          <c:idx val="0"/>
          <c:order val="0"/>
          <c:tx>
            <c:v>Closing cash (INR)</c:v>
          </c:tx>
          <c:marker>
            <c:symbol val="none"/>
          </c:marker>
          <c:cat>
            <c:strRef>
              <c:f>'PCJ-28'!$E$7:$E$18</c:f>
              <c:strCache>
                <c:ptCount val="0"/>
              </c:strCache>
            </c:strRef>
          </c:cat>
          <c:val>
            <c:numRef>
              <c:f>'PCJ-28'!$F$7:$F$18</c:f>
              <c:numCache>
                <c:formatCode>#,##0;[Red](#,##0);"-"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67e4751c1104597"/>
        </a:graphicData>
      </a:graphic>
    </xdr:graphicFrame>
    <xdr:clientData/>
  </xdr:twoCellAnchor>
</xdr:wsDr>
</file>

<file path=xl/drawings/drawing2.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fc6eef9ec8f40cc"/>
        </a:graphicData>
      </a:graphic>
    </xdr:graphicFrame>
    <xdr:clientData/>
  </xdr:twoCellAnchor>
</xdr:wsDr>
</file>

<file path=xl/drawings/drawing3.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f4a645c5ed14db4"/>
        </a:graphicData>
      </a:graphic>
    </xdr:graphicFrame>
    <xdr:clientData/>
  </xdr:twoCellAnchor>
</xdr:wsDr>
</file>

<file path=xl/drawings/drawing4.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a9eb2643e964e63"/>
        </a:graphicData>
      </a:graphic>
    </xdr:graphicFrame>
    <xdr:clientData/>
  </xdr:twoCellAnchor>
</xdr:wsDr>
</file>

<file path=xl/drawings/drawing5.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007c74c32934166"/>
        </a:graphicData>
      </a:graphic>
    </xdr:graphicFrame>
    <xdr:clientData/>
  </xdr:twoCellAnchor>
</xdr:wsDr>
</file>

<file path=xl/drawings/drawing6.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58da10a852f453d"/>
        </a:graphicData>
      </a:graphic>
    </xdr:graphicFrame>
    <xdr:clientData/>
  </xdr:twoCellAnchor>
</xdr:wsDr>
</file>

<file path=xl/drawings/drawing7.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7e77cdabb0649ab"/>
        </a:graphicData>
      </a:graphic>
    </xdr:graphicFrame>
    <xdr:clientData/>
  </xdr:twoCellAnchor>
</xdr:wsDr>
</file>

<file path=xl/drawings/drawing8.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ea8a4ca9bae4eb5"/>
        </a:graphicData>
      </a:graphic>
    </xdr:graphicFrame>
    <xdr:clientData/>
  </xdr:twoCellAnchor>
</xdr:wsDr>
</file>

<file path=xl/drawings/drawing9.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a9cdaefcec349b2"/>
        </a:graphicData>
      </a:graphic>
    </xdr:graphicFrame>
    <xdr:clientData/>
  </xdr:twoCellAnchor>
</xdr:wsDr>
</file>

<file path=xl/drawings/drawing10.xml><?xml version="1.0" encoding="utf-8"?>
<xdr:wsDr xmlns:xdr="http://schemas.openxmlformats.org/drawingml/2006/spreadsheetDrawing">
  <xdr:twoCellAnchor>
    <xdr:from>
      <xdr:col>7</xdr:col>
      <xdr:colOff>0</xdr:colOff>
      <xdr:row>5</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269130151ad4f47"/>
        </a:graphicData>
      </a:graphic>
    </xdr:graphicFrame>
    <xdr:clientData/>
  </xdr:twoCellAnchor>
</xdr:wsDr>
</file>

<file path=xl/persons/person.xml><?xml version="1.0" encoding="utf-8"?>
<xltc:personList xmlns:xltc="http://schemas.microsoft.com/office/spreadsheetml/2018/threadedcomments">
  <xltc:person displayName="Finin2min Editorial Desk" id="{5586D656-C9B8-4DF8-9570-3859735071E3}"/>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D35" dT="2026-10-25T08:24:07.091" personId="{5586D656-C9B8-4DF8-9570-3859735071E3}" id="{0A595218-A456-4509-8B3B-230549A25AC7}">
    <xltc:text>Source: original illustrative planning assumptions, Finin2min, 25 October 2026. Replace with evidence. Not a quotation, statutory calculation or guaranteed forecast.</xltc:text>
  </xltc:threadedComment>
  <xltc:threadedComment ref="D48" dT="2026-10-25T08:24:07.092" personId="{5586D656-C9B8-4DF8-9570-3859735071E3}" id="{05A33695-19EA-4299-A757-3FD54FFCFD43}">
    <xltc:text>Source: original illustrative planning assumptions, Finin2min, 25 October 2026. Replace with evidence. Not a quotation, statutory calculation or guaranteed forecast.</xltc:text>
  </xltc:threadedComment>
  <xltc:threadedComment ref="D60" dT="2026-10-25T08:24:07.092" personId="{5586D656-C9B8-4DF8-9570-3859735071E3}" id="{E9FF6CD4-B483-4750-AE85-5DACDD619B91}">
    <xltc:text>Source: original illustrative planning assumptions, Finin2min, 25 October 2026. Replace with evidence. Tax cash begins at zero as an unresolved input, not a statement of exemption.</xltc:text>
  </xltc:threadedComment>
  <xltc:threadedComment ref="D61" dT="2026-10-25T08:24:07.092" personId="{5586D656-C9B8-4DF8-9570-3859735071E3}" id="{B417A3F2-4029-4913-8E51-5C7F3C8C18FC}">
    <xltc:text>Source: original illustrative planning assumptions, Finin2min, 25 October 2026. Replace with evidence. Not a quotation, statutory calculation or guaranteed forecast.</xltc:text>
  </xltc:threadedComment>
  <xltc:threadedComment ref="B8" dT="2026-10-25T08:24:07.092" personId="{5586D656-C9B8-4DF8-9570-3859735071E3}" id="{3408E83F-38F1-4968-B71E-407F410BFFBE}">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9" dT="2026-10-25T08:24:07.092" personId="{5586D656-C9B8-4DF8-9570-3859735071E3}" id="{10ED119D-6689-4878-A2AD-11AEB0103A78}">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0" dT="2026-10-25T08:24:07.092" personId="{5586D656-C9B8-4DF8-9570-3859735071E3}" id="{2A583356-90B8-4852-BE13-AE3289FBC202}">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1" dT="2026-10-25T08:24:07.092" personId="{5586D656-C9B8-4DF8-9570-3859735071E3}" id="{8F52F4E2-5370-4655-9DD6-872A3AB286D5}">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2" dT="2026-10-25T08:24:07.092" personId="{5586D656-C9B8-4DF8-9570-3859735071E3}" id="{D0AC0275-5D3C-43C1-ADBE-1D6BA8F09AA8}">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3" dT="2026-10-25T08:24:07.092" personId="{5586D656-C9B8-4DF8-9570-3859735071E3}" id="{6C217A17-0979-443A-9865-6748A766EB53}">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4" dT="2026-10-25T08:24:07.092" personId="{5586D656-C9B8-4DF8-9570-3859735071E3}" id="{D1840B11-C606-48D6-A0BA-C4D376D48BB6}">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5" dT="2026-10-25T08:24:07.092" personId="{5586D656-C9B8-4DF8-9570-3859735071E3}" id="{22B44D9D-A059-4864-94E0-BA0870ADA1ED}">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6" dT="2026-10-25T08:24:07.092" personId="{5586D656-C9B8-4DF8-9570-3859735071E3}" id="{281D0D4D-F8FB-47DE-AA6D-FE28DCA93DEB}">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7" dT="2026-10-25T08:24:07.092" personId="{5586D656-C9B8-4DF8-9570-3859735071E3}" id="{72F2C7D6-4672-442F-A06F-A7DBFB333F09}">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8" dT="2026-10-25T08:24:07.092" personId="{5586D656-C9B8-4DF8-9570-3859735071E3}" id="{4CB68721-44FE-4BA0-94E5-2E100AE73CEB}">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19" dT="2026-10-25T08:24:07.092" personId="{5586D656-C9B8-4DF8-9570-3859735071E3}" id="{CF9CCE56-0C04-41B9-9F85-F0BA0F3A9628}">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0" dT="2026-10-25T08:24:07.092" personId="{5586D656-C9B8-4DF8-9570-3859735071E3}" id="{02A79E4B-85CD-4DF8-A8CD-5A66CDC4DC9B}">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1" dT="2026-10-25T08:24:07.092" personId="{5586D656-C9B8-4DF8-9570-3859735071E3}" id="{1B616FB2-39D1-432F-A487-561317E7C6FB}">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2" dT="2026-10-25T08:24:07.092" personId="{5586D656-C9B8-4DF8-9570-3859735071E3}" id="{8F348293-9767-420B-BD95-ACB9F8791DE6}">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3" dT="2026-10-25T08:24:07.092" personId="{5586D656-C9B8-4DF8-9570-3859735071E3}" id="{1BA89590-2BEF-4750-921E-F170E69DEA48}">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4" dT="2026-10-25T08:24:07.092" personId="{5586D656-C9B8-4DF8-9570-3859735071E3}" id="{A88977FA-BF62-4C84-8364-2C8FAD5EE5A0}">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5" dT="2026-10-25T08:24:07.092" personId="{5586D656-C9B8-4DF8-9570-3859735071E3}" id="{C8470126-1C99-4B15-AAE1-4B8751A15421}">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6" dT="2026-10-25T08:24:07.092" personId="{5586D656-C9B8-4DF8-9570-3859735071E3}" id="{1F9A7326-3705-41C1-A273-A06AC923E399}">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7" dT="2026-10-25T08:24:07.092" personId="{5586D656-C9B8-4DF8-9570-3859735071E3}" id="{377B52F0-2A85-454C-ACD3-E6819B2B899E}">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B28" dT="2026-10-25T08:24:07.092" personId="{5586D656-C9B8-4DF8-9570-3859735071E3}" id="{0835E907-ECAE-4FDF-BF12-5C098DA99AD4}">
    <xltc:text>Source: original illustrative AI Automation &amp; B2B Workflow Studio scenario prepared by Finin2min Editorial Desk on 25 October 2026. Not researched market prices or statutory fees. Replace with signed quotes, contracts, capacity evidence and actual operating data. Sector context: https://www.niti.gov.in/sites/default/files/2025-09/AI-for-Viksit-Bharat-the-opportunity-for-accelerated-economic-growth.pdf</xltc:text>
  </xltc:threadedComment>
  <xltc:threadedComment ref="E35" dT="2026-10-25T08:29:51.776" personId="{5586D656-C9B8-4DF8-9570-3859735071E3}" id="{AEC32496-3913-4BD8-91EC-58AED9CF2959}">
    <xltc:text>Source: original illustrative planning assumption, Finin2min, 25 October 2026; replace with actual operating or funding evidence. Not a quotation, statutory amount or guaranteed forecast.</xltc:text>
  </xltc:threadedComment>
  <xltc:threadedComment ref="F35" dT="2026-10-25T08:29:51.776" personId="{5586D656-C9B8-4DF8-9570-3859735071E3}" id="{0FC9EBBB-27C0-4F06-BD0B-5ACAAE5DE367}">
    <xltc:text>Source: original illustrative planning assumption, Finin2min, 25 October 2026; replace with actual operating or funding evidence. Not a quotation, statutory amount or guaranteed forecast.</xltc:text>
  </xltc:threadedComment>
  <xltc:threadedComment ref="G35" dT="2026-10-25T08:29:51.776" personId="{5586D656-C9B8-4DF8-9570-3859735071E3}" id="{0983CD08-C09E-4628-B60E-D4F518F90297}">
    <xltc:text>Source: original illustrative planning assumption, Finin2min, 25 October 2026; replace with actual operating or funding evidence. Not a quotation, statutory amount or guaranteed forecast.</xltc:text>
  </xltc:threadedComment>
  <xltc:threadedComment ref="H35" dT="2026-10-25T08:29:51.776" personId="{5586D656-C9B8-4DF8-9570-3859735071E3}" id="{957B6CD4-3147-4CF8-A5E6-8B8A46D5182F}">
    <xltc:text>Source: original illustrative planning assumption, Finin2min, 25 October 2026; replace with actual operating or funding evidence. Not a quotation, statutory amount or guaranteed forecast.</xltc:text>
  </xltc:threadedComment>
  <xltc:threadedComment ref="I35" dT="2026-10-25T08:29:51.776" personId="{5586D656-C9B8-4DF8-9570-3859735071E3}" id="{A9C94C3E-BF62-4BCF-9CB4-3BB489872DA5}">
    <xltc:text>Source: original illustrative planning assumption, Finin2min, 25 October 2026; replace with actual operating or funding evidence. Not a quotation, statutory amount or guaranteed forecast.</xltc:text>
  </xltc:threadedComment>
  <xltc:threadedComment ref="J35" dT="2026-10-25T08:29:51.776" personId="{5586D656-C9B8-4DF8-9570-3859735071E3}" id="{2C9EE3C2-85FD-47D3-AFCF-7D0451435844}">
    <xltc:text>Source: original illustrative planning assumption, Finin2min, 25 October 2026; replace with actual operating or funding evidence. Not a quotation, statutory amount or guaranteed forecast.</xltc:text>
  </xltc:threadedComment>
  <xltc:threadedComment ref="K35" dT="2026-10-25T08:29:51.776" personId="{5586D656-C9B8-4DF8-9570-3859735071E3}" id="{C4355A38-8404-4B1C-8FD5-221E863DEA8F}">
    <xltc:text>Source: original illustrative planning assumption, Finin2min, 25 October 2026; replace with actual operating or funding evidence. Not a quotation, statutory amount or guaranteed forecast.</xltc:text>
  </xltc:threadedComment>
  <xltc:threadedComment ref="L35" dT="2026-10-25T08:29:51.777" personId="{5586D656-C9B8-4DF8-9570-3859735071E3}" id="{43FA4FAB-FC6B-4EAA-A829-7D00C71D08C1}">
    <xltc:text>Source: original illustrative planning assumption, Finin2min, 25 October 2026; replace with actual operating or funding evidence. Not a quotation, statutory amount or guaranteed forecast.</xltc:text>
  </xltc:threadedComment>
  <xltc:threadedComment ref="M35" dT="2026-10-25T08:29:51.777" personId="{5586D656-C9B8-4DF8-9570-3859735071E3}" id="{04F53B9D-F6B7-4BB3-B042-829E166CF4A3}">
    <xltc:text>Source: original illustrative planning assumption, Finin2min, 25 October 2026; replace with actual operating or funding evidence. Not a quotation, statutory amount or guaranteed forecast.</xltc:text>
  </xltc:threadedComment>
  <xltc:threadedComment ref="N35" dT="2026-10-25T08:29:51.777" personId="{5586D656-C9B8-4DF8-9570-3859735071E3}" id="{9FCEC933-8C42-4461-A493-C4EC48BAFFA2}">
    <xltc:text>Source: original illustrative planning assumption, Finin2min, 25 October 2026; replace with actual operating or funding evidence. Not a quotation, statutory amount or guaranteed forecast.</xltc:text>
  </xltc:threadedComment>
  <xltc:threadedComment ref="O35" dT="2026-10-25T08:29:51.777" personId="{5586D656-C9B8-4DF8-9570-3859735071E3}" id="{953F1558-2AC1-4B0A-97C4-61165E2CCFA6}">
    <xltc:text>Source: original illustrative planning assumption, Finin2min, 25 October 2026; replace with actual operating or funding evidence. Not a quotation, statutory amount or guaranteed forecast.</xltc:text>
  </xltc:threadedComment>
  <xltc:threadedComment ref="E48" dT="2026-10-25T08:29:51.777" personId="{5586D656-C9B8-4DF8-9570-3859735071E3}" id="{2A8F58CF-633F-4103-BFCF-AC2EEEA3FF8A}">
    <xltc:text>Source: original illustrative planning assumption, Finin2min, 25 October 2026; replace with actual operating or funding evidence. Not a quotation, statutory amount or guaranteed forecast.</xltc:text>
  </xltc:threadedComment>
  <xltc:threadedComment ref="F48" dT="2026-10-25T08:29:51.777" personId="{5586D656-C9B8-4DF8-9570-3859735071E3}" id="{8930145B-5E8C-4442-BC0B-4E786ED3C6C8}">
    <xltc:text>Source: original illustrative planning assumption, Finin2min, 25 October 2026; replace with actual operating or funding evidence. Not a quotation, statutory amount or guaranteed forecast.</xltc:text>
  </xltc:threadedComment>
  <xltc:threadedComment ref="G48" dT="2026-10-25T08:29:51.777" personId="{5586D656-C9B8-4DF8-9570-3859735071E3}" id="{2C821993-3F8A-412D-924F-6A3EEDF22557}">
    <xltc:text>Source: original illustrative planning assumption, Finin2min, 25 October 2026; replace with actual operating or funding evidence. Not a quotation, statutory amount or guaranteed forecast.</xltc:text>
  </xltc:threadedComment>
  <xltc:threadedComment ref="H48" dT="2026-10-25T08:29:51.777" personId="{5586D656-C9B8-4DF8-9570-3859735071E3}" id="{F9BFE20D-A82F-4564-B38B-8DA6BE2B33EC}">
    <xltc:text>Source: original illustrative planning assumption, Finin2min, 25 October 2026; replace with actual operating or funding evidence. Not a quotation, statutory amount or guaranteed forecast.</xltc:text>
  </xltc:threadedComment>
  <xltc:threadedComment ref="I48" dT="2026-10-25T08:29:51.777" personId="{5586D656-C9B8-4DF8-9570-3859735071E3}" id="{17DB01B6-1A63-4C23-BD45-663CC9BE5D9A}">
    <xltc:text>Source: original illustrative planning assumption, Finin2min, 25 October 2026; replace with actual operating or funding evidence. Not a quotation, statutory amount or guaranteed forecast.</xltc:text>
  </xltc:threadedComment>
  <xltc:threadedComment ref="J48" dT="2026-10-25T08:29:51.777" personId="{5586D656-C9B8-4DF8-9570-3859735071E3}" id="{1C4C2A95-1965-4F50-BA46-E0CC0937D3D0}">
    <xltc:text>Source: original illustrative planning assumption, Finin2min, 25 October 2026; replace with actual operating or funding evidence. Not a quotation, statutory amount or guaranteed forecast.</xltc:text>
  </xltc:threadedComment>
  <xltc:threadedComment ref="K48" dT="2026-10-25T08:29:51.777" personId="{5586D656-C9B8-4DF8-9570-3859735071E3}" id="{B17FE995-589A-4262-8F53-A8B96295BCF7}">
    <xltc:text>Source: original illustrative planning assumption, Finin2min, 25 October 2026; replace with actual operating or funding evidence. Not a quotation, statutory amount or guaranteed forecast.</xltc:text>
  </xltc:threadedComment>
  <xltc:threadedComment ref="L48" dT="2026-10-25T08:29:51.777" personId="{5586D656-C9B8-4DF8-9570-3859735071E3}" id="{660A0342-C044-4DE7-A1BA-0F3B01B6CE53}">
    <xltc:text>Source: original illustrative planning assumption, Finin2min, 25 October 2026; replace with actual operating or funding evidence. Not a quotation, statutory amount or guaranteed forecast.</xltc:text>
  </xltc:threadedComment>
  <xltc:threadedComment ref="M48" dT="2026-10-25T08:29:51.777" personId="{5586D656-C9B8-4DF8-9570-3859735071E3}" id="{AA4D2CF5-7855-4C92-A5A2-A80645BB3C34}">
    <xltc:text>Source: original illustrative planning assumption, Finin2min, 25 October 2026; replace with actual operating or funding evidence. Not a quotation, statutory amount or guaranteed forecast.</xltc:text>
  </xltc:threadedComment>
  <xltc:threadedComment ref="N48" dT="2026-10-25T08:29:51.777" personId="{5586D656-C9B8-4DF8-9570-3859735071E3}" id="{800A8684-7002-497A-8D3A-1418782E68B9}">
    <xltc:text>Source: original illustrative planning assumption, Finin2min, 25 October 2026; replace with actual operating or funding evidence. Not a quotation, statutory amount or guaranteed forecast.</xltc:text>
  </xltc:threadedComment>
  <xltc:threadedComment ref="O48" dT="2026-10-25T08:29:51.777" personId="{5586D656-C9B8-4DF8-9570-3859735071E3}" id="{4D19D68C-5722-42CC-897D-DD5719FEAF8B}">
    <xltc:text>Source: original illustrative planning assumption, Finin2min, 25 October 2026; replace with actual operating or funding evidence. Not a quotation, statutory amount or guaranteed forecast.</xltc:text>
  </xltc:threadedComment>
  <xltc:threadedComment ref="E60" dT="2026-10-25T08:29:51.777" personId="{5586D656-C9B8-4DF8-9570-3859735071E3}" id="{5B7E307F-2D35-4543-B33F-221990D2B0B5}">
    <xltc:text>Source: original illustrative planning assumption, Finin2min, 25 October 2026; replace with actual operating or funding evidence. Zero tax cash is an unresolved input, not exemption.</xltc:text>
  </xltc:threadedComment>
  <xltc:threadedComment ref="F60" dT="2026-10-25T08:29:51.777" personId="{5586D656-C9B8-4DF8-9570-3859735071E3}" id="{F64EC4FB-BA81-4104-AB9E-9EBDF844ACAF}">
    <xltc:text>Source: original illustrative planning assumption, Finin2min, 25 October 2026; replace with actual operating or funding evidence. Zero tax cash is an unresolved input, not exemption.</xltc:text>
  </xltc:threadedComment>
  <xltc:threadedComment ref="G60" dT="2026-10-25T08:29:51.777" personId="{5586D656-C9B8-4DF8-9570-3859735071E3}" id="{0703C449-E4F6-4CB7-9ED4-568F818A90A5}">
    <xltc:text>Source: original illustrative planning assumption, Finin2min, 25 October 2026; replace with actual operating or funding evidence. Zero tax cash is an unresolved input, not exemption.</xltc:text>
  </xltc:threadedComment>
  <xltc:threadedComment ref="H60" dT="2026-10-25T08:29:51.777" personId="{5586D656-C9B8-4DF8-9570-3859735071E3}" id="{D7502194-2A00-4D3C-BE55-66AE3415BFC4}">
    <xltc:text>Source: original illustrative planning assumption, Finin2min, 25 October 2026; replace with actual operating or funding evidence. Zero tax cash is an unresolved input, not exemption.</xltc:text>
  </xltc:threadedComment>
  <xltc:threadedComment ref="I60" dT="2026-10-25T08:29:51.777" personId="{5586D656-C9B8-4DF8-9570-3859735071E3}" id="{DA2651EF-8DD3-4A42-8C08-EE504D54C75E}">
    <xltc:text>Source: original illustrative planning assumption, Finin2min, 25 October 2026; replace with actual operating or funding evidence. Zero tax cash is an unresolved input, not exemption.</xltc:text>
  </xltc:threadedComment>
  <xltc:threadedComment ref="J60" dT="2026-10-25T08:29:51.777" personId="{5586D656-C9B8-4DF8-9570-3859735071E3}" id="{8C4C9D13-4D50-4424-B319-09884FA8EDE5}">
    <xltc:text>Source: original illustrative planning assumption, Finin2min, 25 October 2026; replace with actual operating or funding evidence. Zero tax cash is an unresolved input, not exemption.</xltc:text>
  </xltc:threadedComment>
  <xltc:threadedComment ref="K60" dT="2026-10-25T08:29:51.777" personId="{5586D656-C9B8-4DF8-9570-3859735071E3}" id="{29742109-D173-4A14-AC5E-F36F89E84184}">
    <xltc:text>Source: original illustrative planning assumption, Finin2min, 25 October 2026; replace with actual operating or funding evidence. Zero tax cash is an unresolved input, not exemption.</xltc:text>
  </xltc:threadedComment>
  <xltc:threadedComment ref="L60" dT="2026-10-25T08:29:51.777" personId="{5586D656-C9B8-4DF8-9570-3859735071E3}" id="{1FABDADD-1349-4C00-A16F-AC2AC82590A0}">
    <xltc:text>Source: original illustrative planning assumption, Finin2min, 25 October 2026; replace with actual operating or funding evidence. Zero tax cash is an unresolved input, not exemption.</xltc:text>
  </xltc:threadedComment>
  <xltc:threadedComment ref="M60" dT="2026-10-25T08:29:51.777" personId="{5586D656-C9B8-4DF8-9570-3859735071E3}" id="{11386578-A930-4792-A25B-BB52E26D7664}">
    <xltc:text>Source: original illustrative planning assumption, Finin2min, 25 October 2026; replace with actual operating or funding evidence. Zero tax cash is an unresolved input, not exemption.</xltc:text>
  </xltc:threadedComment>
  <xltc:threadedComment ref="N60" dT="2026-10-25T08:29:51.777" personId="{5586D656-C9B8-4DF8-9570-3859735071E3}" id="{00FC610D-4770-4B18-B505-81DC8E1C656C}">
    <xltc:text>Source: original illustrative planning assumption, Finin2min, 25 October 2026; replace with actual operating or funding evidence. Zero tax cash is an unresolved input, not exemption.</xltc:text>
  </xltc:threadedComment>
  <xltc:threadedComment ref="O60" dT="2026-10-25T08:29:51.777" personId="{5586D656-C9B8-4DF8-9570-3859735071E3}" id="{FA82C3B8-133D-4066-ADF9-0337880A35A4}">
    <xltc:text>Source: original illustrative planning assumption, Finin2min, 25 October 2026; replace with actual operating or funding evidence. Zero tax cash is an unresolved input, not exemption.</xltc:text>
  </xltc:threadedComment>
  <xltc:threadedComment ref="E61" dT="2026-10-25T08:29:51.777" personId="{5586D656-C9B8-4DF8-9570-3859735071E3}" id="{42C443FA-7B19-4CA3-BA40-24327BFD2925}">
    <xltc:text>Source: original illustrative planning assumption, Finin2min, 25 October 2026; replace with actual operating or funding evidence. Not a quotation, statutory amount or guaranteed forecast.</xltc:text>
  </xltc:threadedComment>
  <xltc:threadedComment ref="F61" dT="2026-10-25T08:29:51.777" personId="{5586D656-C9B8-4DF8-9570-3859735071E3}" id="{8EE714A5-AF50-40D8-8DCD-CB15DD17A952}">
    <xltc:text>Source: original illustrative planning assumption, Finin2min, 25 October 2026; replace with actual operating or funding evidence. Not a quotation, statutory amount or guaranteed forecast.</xltc:text>
  </xltc:threadedComment>
  <xltc:threadedComment ref="G61" dT="2026-10-25T08:29:51.777" personId="{5586D656-C9B8-4DF8-9570-3859735071E3}" id="{07169581-5FF6-4B88-A710-AFB6B06A7C6C}">
    <xltc:text>Source: original illustrative planning assumption, Finin2min, 25 October 2026; replace with actual operating or funding evidence. Not a quotation, statutory amount or guaranteed forecast.</xltc:text>
  </xltc:threadedComment>
  <xltc:threadedComment ref="H61" dT="2026-10-25T08:29:51.777" personId="{5586D656-C9B8-4DF8-9570-3859735071E3}" id="{4014B1E6-ED3B-4014-ACA1-96963FE643C3}">
    <xltc:text>Source: original illustrative planning assumption, Finin2min, 25 October 2026; replace with actual operating or funding evidence. Not a quotation, statutory amount or guaranteed forecast.</xltc:text>
  </xltc:threadedComment>
  <xltc:threadedComment ref="I61" dT="2026-10-25T08:29:51.777" personId="{5586D656-C9B8-4DF8-9570-3859735071E3}" id="{017232F1-B87A-453F-AC9C-CFBCEF490C5B}">
    <xltc:text>Source: original illustrative planning assumption, Finin2min, 25 October 2026; replace with actual operating or funding evidence. Not a quotation, statutory amount or guaranteed forecast.</xltc:text>
  </xltc:threadedComment>
  <xltc:threadedComment ref="J61" dT="2026-10-25T08:29:51.777" personId="{5586D656-C9B8-4DF8-9570-3859735071E3}" id="{B13AA0B7-C095-4390-ABC4-E6E75ED7EF5A}">
    <xltc:text>Source: original illustrative planning assumption, Finin2min, 25 October 2026; replace with actual operating or funding evidence. Not a quotation, statutory amount or guaranteed forecast.</xltc:text>
  </xltc:threadedComment>
  <xltc:threadedComment ref="K61" dT="2026-10-25T08:29:51.777" personId="{5586D656-C9B8-4DF8-9570-3859735071E3}" id="{98204AC4-77A8-4367-B2DB-199A9ED87F3D}">
    <xltc:text>Source: original illustrative planning assumption, Finin2min, 25 October 2026; replace with actual operating or funding evidence. Not a quotation, statutory amount or guaranteed forecast.</xltc:text>
  </xltc:threadedComment>
  <xltc:threadedComment ref="L61" dT="2026-10-25T08:29:51.777" personId="{5586D656-C9B8-4DF8-9570-3859735071E3}" id="{2E3D0B1F-7F82-44D2-99BD-8FD42CB95C77}">
    <xltc:text>Source: original illustrative planning assumption, Finin2min, 25 October 2026; replace with actual operating or funding evidence. Not a quotation, statutory amount or guaranteed forecast.</xltc:text>
  </xltc:threadedComment>
  <xltc:threadedComment ref="M61" dT="2026-10-25T08:29:51.777" personId="{5586D656-C9B8-4DF8-9570-3859735071E3}" id="{49CF79E6-E249-43DF-867B-E196ED1EAF4E}">
    <xltc:text>Source: original illustrative planning assumption, Finin2min, 25 October 2026; replace with actual operating or funding evidence. Not a quotation, statutory amount or guaranteed forecast.</xltc:text>
  </xltc:threadedComment>
  <xltc:threadedComment ref="N61" dT="2026-10-25T08:29:51.777" personId="{5586D656-C9B8-4DF8-9570-3859735071E3}" id="{AE9067C4-B6AF-4269-AEB4-7BB083BE11C5}">
    <xltc:text>Source: original illustrative planning assumption, Finin2min, 25 October 2026; replace with actual operating or funding evidence. Not a quotation, statutory amount or guaranteed forecast.</xltc:text>
  </xltc:threadedComment>
  <xltc:threadedComment ref="O61" dT="2026-10-25T08:29:51.777" personId="{5586D656-C9B8-4DF8-9570-3859735071E3}" id="{BBA7958A-EAF4-4750-B0CC-EA596130F92C}">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2.xml><?xml version="1.0" encoding="utf-8"?>
<xltc:ThreadedComments xmlns:xltc="http://schemas.microsoft.com/office/spreadsheetml/2018/threadedcomments">
  <xltc:threadedComment ref="D35" dT="2026-10-25T08:24:07.092" personId="{5586D656-C9B8-4DF8-9570-3859735071E3}" id="{F7845729-AA0A-4D4F-9A14-D6F4F8C47244}">
    <xltc:text>Source: original illustrative planning assumptions, Finin2min, 25 October 2026. Replace with evidence. Not a quotation, statutory calculation or guaranteed forecast.</xltc:text>
  </xltc:threadedComment>
  <xltc:threadedComment ref="D48" dT="2026-10-25T08:24:07.092" personId="{5586D656-C9B8-4DF8-9570-3859735071E3}" id="{664039FC-1086-40D6-8DB6-8C1BE9ED3B32}">
    <xltc:text>Source: original illustrative planning assumptions, Finin2min, 25 October 2026. Replace with evidence. Not a quotation, statutory calculation or guaranteed forecast.</xltc:text>
  </xltc:threadedComment>
  <xltc:threadedComment ref="D60" dT="2026-10-25T08:24:07.092" personId="{5586D656-C9B8-4DF8-9570-3859735071E3}" id="{105AFFFB-DC18-4CE8-9915-4F6ED770481E}">
    <xltc:text>Source: original illustrative planning assumptions, Finin2min, 25 October 2026. Replace with evidence. Tax cash begins at zero as an unresolved input, not a statement of exemption.</xltc:text>
  </xltc:threadedComment>
  <xltc:threadedComment ref="D61" dT="2026-10-25T08:24:07.092" personId="{5586D656-C9B8-4DF8-9570-3859735071E3}" id="{14EEEA22-E913-44FF-A7CE-FA65CB1B1419}">
    <xltc:text>Source: original illustrative planning assumptions, Finin2min, 25 October 2026. Replace with evidence. Not a quotation, statutory calculation or guaranteed forecast.</xltc:text>
  </xltc:threadedComment>
  <xltc:threadedComment ref="B8" dT="2026-10-25T08:24:07.092" personId="{5586D656-C9B8-4DF8-9570-3859735071E3}" id="{BFA8EDE8-FB8D-4325-86F0-AAC924A647F0}">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9" dT="2026-10-25T08:24:07.092" personId="{5586D656-C9B8-4DF8-9570-3859735071E3}" id="{4E18A82E-3558-4C9C-94A3-775064459B2F}">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0" dT="2026-10-25T08:24:07.092" personId="{5586D656-C9B8-4DF8-9570-3859735071E3}" id="{BE66D5E8-B088-4806-8DA5-E1468E5B1734}">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1" dT="2026-10-25T08:24:07.092" personId="{5586D656-C9B8-4DF8-9570-3859735071E3}" id="{CEEC1260-B153-4266-9E29-A7A6336A32F3}">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2" dT="2026-10-25T08:24:07.092" personId="{5586D656-C9B8-4DF8-9570-3859735071E3}" id="{84C9845B-07B6-438A-B150-A17807AA4926}">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3" dT="2026-10-25T08:24:07.092" personId="{5586D656-C9B8-4DF8-9570-3859735071E3}" id="{072447C7-DEEF-4515-BF00-07A18A3A0E03}">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4" dT="2026-10-25T08:24:07.092" personId="{5586D656-C9B8-4DF8-9570-3859735071E3}" id="{B83DA6A6-0EE8-4B75-9561-889700978295}">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5" dT="2026-10-25T08:24:07.093" personId="{5586D656-C9B8-4DF8-9570-3859735071E3}" id="{B365ABD5-8996-4410-9593-52A3022B67E1}">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6" dT="2026-10-25T08:24:07.093" personId="{5586D656-C9B8-4DF8-9570-3859735071E3}" id="{F88B8F92-F1F8-4F06-AEB8-DDDD9F982B83}">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7" dT="2026-10-25T08:24:07.093" personId="{5586D656-C9B8-4DF8-9570-3859735071E3}" id="{53AB6640-CBFE-417A-B582-3F781D6139B1}">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8" dT="2026-10-25T08:24:07.093" personId="{5586D656-C9B8-4DF8-9570-3859735071E3}" id="{7BD277E0-F859-4BFF-B762-13BC7CE84EF2}">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19" dT="2026-10-25T08:24:07.093" personId="{5586D656-C9B8-4DF8-9570-3859735071E3}" id="{98FA3A39-1DAF-4F48-ABA5-A555172359AD}">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0" dT="2026-10-25T08:24:07.093" personId="{5586D656-C9B8-4DF8-9570-3859735071E3}" id="{494BD316-D2FC-41B3-A6C0-7A7078F9D7CF}">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1" dT="2026-10-25T08:24:07.093" personId="{5586D656-C9B8-4DF8-9570-3859735071E3}" id="{B0F91952-25C6-4872-B826-A2EEB215019B}">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2" dT="2026-10-25T08:24:07.093" personId="{5586D656-C9B8-4DF8-9570-3859735071E3}" id="{1780152F-806D-48FF-A47F-5EBC4DA43BB0}">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3" dT="2026-10-25T08:24:07.093" personId="{5586D656-C9B8-4DF8-9570-3859735071E3}" id="{D2A2816B-15C2-484B-A25A-63707BED71BB}">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4" dT="2026-10-25T08:24:07.093" personId="{5586D656-C9B8-4DF8-9570-3859735071E3}" id="{D115AC42-C26D-43B1-AC16-407ADAD5BCA6}">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5" dT="2026-10-25T08:24:07.093" personId="{5586D656-C9B8-4DF8-9570-3859735071E3}" id="{A1661CCC-0736-4998-A547-E06014A1E989}">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6" dT="2026-10-25T08:24:07.093" personId="{5586D656-C9B8-4DF8-9570-3859735071E3}" id="{4920CC92-85F5-4618-81F5-5E9C3B6EAEED}">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7" dT="2026-10-25T08:24:07.093" personId="{5586D656-C9B8-4DF8-9570-3859735071E3}" id="{E03E7805-236A-4301-9D36-2868A362D102}">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B28" dT="2026-10-25T08:24:07.093" personId="{5586D656-C9B8-4DF8-9570-3859735071E3}" id="{00E28645-2557-4D9A-BCD6-112A138A95F7}">
    <xltc:text>Source: original illustrative EV Charging Station &amp; Fleet Depot scenario prepared by Finin2min Editorial Desk on 25 October 2026. Not researched market prices or statutory fees. Replace with signed quotes, contracts, capacity evidence and actual operating data. Sector context: https://pmedrive.heavyindustries.gov.in/docs/policy_document/EV%20PCS%20operational%20guidelines_F.pdf</xltc:text>
  </xltc:threadedComment>
  <xltc:threadedComment ref="E35" dT="2026-10-25T08:29:51.777" personId="{5586D656-C9B8-4DF8-9570-3859735071E3}" id="{633ED068-954E-4E1F-9DDC-558FF5152791}">
    <xltc:text>Source: original illustrative planning assumption, Finin2min, 25 October 2026; replace with actual operating or funding evidence. Not a quotation, statutory amount or guaranteed forecast.</xltc:text>
  </xltc:threadedComment>
  <xltc:threadedComment ref="F35" dT="2026-10-25T08:29:51.777" personId="{5586D656-C9B8-4DF8-9570-3859735071E3}" id="{B4440BCB-5401-4A55-ABFD-87CFBD7E6D4A}">
    <xltc:text>Source: original illustrative planning assumption, Finin2min, 25 October 2026; replace with actual operating or funding evidence. Not a quotation, statutory amount or guaranteed forecast.</xltc:text>
  </xltc:threadedComment>
  <xltc:threadedComment ref="G35" dT="2026-10-25T08:29:51.777" personId="{5586D656-C9B8-4DF8-9570-3859735071E3}" id="{1FA5E42D-C491-441B-9C81-76CF6EDE5A79}">
    <xltc:text>Source: original illustrative planning assumption, Finin2min, 25 October 2026; replace with actual operating or funding evidence. Not a quotation, statutory amount or guaranteed forecast.</xltc:text>
  </xltc:threadedComment>
  <xltc:threadedComment ref="H35" dT="2026-10-25T08:29:51.777" personId="{5586D656-C9B8-4DF8-9570-3859735071E3}" id="{C0634DCC-8536-4E89-BD7D-082344BDAD39}">
    <xltc:text>Source: original illustrative planning assumption, Finin2min, 25 October 2026; replace with actual operating or funding evidence. Not a quotation, statutory amount or guaranteed forecast.</xltc:text>
  </xltc:threadedComment>
  <xltc:threadedComment ref="I35" dT="2026-10-25T08:29:51.777" personId="{5586D656-C9B8-4DF8-9570-3859735071E3}" id="{26C48546-797A-4D07-8965-47DBC2E791BD}">
    <xltc:text>Source: original illustrative planning assumption, Finin2min, 25 October 2026; replace with actual operating or funding evidence. Not a quotation, statutory amount or guaranteed forecast.</xltc:text>
  </xltc:threadedComment>
  <xltc:threadedComment ref="J35" dT="2026-10-25T08:29:51.777" personId="{5586D656-C9B8-4DF8-9570-3859735071E3}" id="{7FE4EAA7-FDE1-45C5-B409-37861F915C55}">
    <xltc:text>Source: original illustrative planning assumption, Finin2min, 25 October 2026; replace with actual operating or funding evidence. Not a quotation, statutory amount or guaranteed forecast.</xltc:text>
  </xltc:threadedComment>
  <xltc:threadedComment ref="K35" dT="2026-10-25T08:29:51.777" personId="{5586D656-C9B8-4DF8-9570-3859735071E3}" id="{0448144C-3114-4517-BDC6-DE1F350AF9EF}">
    <xltc:text>Source: original illustrative planning assumption, Finin2min, 25 October 2026; replace with actual operating or funding evidence. Not a quotation, statutory amount or guaranteed forecast.</xltc:text>
  </xltc:threadedComment>
  <xltc:threadedComment ref="L35" dT="2026-10-25T08:29:51.777" personId="{5586D656-C9B8-4DF8-9570-3859735071E3}" id="{8E308B0E-4CB3-4C49-AE12-BA6F278ABD8C}">
    <xltc:text>Source: original illustrative planning assumption, Finin2min, 25 October 2026; replace with actual operating or funding evidence. Not a quotation, statutory amount or guaranteed forecast.</xltc:text>
  </xltc:threadedComment>
  <xltc:threadedComment ref="M35" dT="2026-10-25T08:29:51.777" personId="{5586D656-C9B8-4DF8-9570-3859735071E3}" id="{24226AC9-65E9-48C9-9112-E272A3E235BF}">
    <xltc:text>Source: original illustrative planning assumption, Finin2min, 25 October 2026; replace with actual operating or funding evidence. Not a quotation, statutory amount or guaranteed forecast.</xltc:text>
  </xltc:threadedComment>
  <xltc:threadedComment ref="N35" dT="2026-10-25T08:29:51.777" personId="{5586D656-C9B8-4DF8-9570-3859735071E3}" id="{D4045B61-B610-4A97-B50D-ACC2C07959C1}">
    <xltc:text>Source: original illustrative planning assumption, Finin2min, 25 October 2026; replace with actual operating or funding evidence. Not a quotation, statutory amount or guaranteed forecast.</xltc:text>
  </xltc:threadedComment>
  <xltc:threadedComment ref="O35" dT="2026-10-25T08:29:51.777" personId="{5586D656-C9B8-4DF8-9570-3859735071E3}" id="{76565E7E-2E87-408E-963F-2986AF748D7A}">
    <xltc:text>Source: original illustrative planning assumption, Finin2min, 25 October 2026; replace with actual operating or funding evidence. Not a quotation, statutory amount or guaranteed forecast.</xltc:text>
  </xltc:threadedComment>
  <xltc:threadedComment ref="E48" dT="2026-10-25T08:29:51.777" personId="{5586D656-C9B8-4DF8-9570-3859735071E3}" id="{B0C52F14-62CF-4412-ADE4-349D3E240C9E}">
    <xltc:text>Source: original illustrative planning assumption, Finin2min, 25 October 2026; replace with actual operating or funding evidence. Not a quotation, statutory amount or guaranteed forecast.</xltc:text>
  </xltc:threadedComment>
  <xltc:threadedComment ref="F48" dT="2026-10-25T08:29:51.777" personId="{5586D656-C9B8-4DF8-9570-3859735071E3}" id="{5F7E2DCD-1AF2-4E61-9539-D19CDED63224}">
    <xltc:text>Source: original illustrative planning assumption, Finin2min, 25 October 2026; replace with actual operating or funding evidence. Not a quotation, statutory amount or guaranteed forecast.</xltc:text>
  </xltc:threadedComment>
  <xltc:threadedComment ref="G48" dT="2026-10-25T08:29:51.777" personId="{5586D656-C9B8-4DF8-9570-3859735071E3}" id="{FDCC0232-1BAA-4DBF-B8F1-26889F551274}">
    <xltc:text>Source: original illustrative planning assumption, Finin2min, 25 October 2026; replace with actual operating or funding evidence. Not a quotation, statutory amount or guaranteed forecast.</xltc:text>
  </xltc:threadedComment>
  <xltc:threadedComment ref="H48" dT="2026-10-25T08:29:51.777" personId="{5586D656-C9B8-4DF8-9570-3859735071E3}" id="{8DE925F5-0632-4849-8C1D-AA5236ED4385}">
    <xltc:text>Source: original illustrative planning assumption, Finin2min, 25 October 2026; replace with actual operating or funding evidence. Not a quotation, statutory amount or guaranteed forecast.</xltc:text>
  </xltc:threadedComment>
  <xltc:threadedComment ref="I48" dT="2026-10-25T08:29:51.777" personId="{5586D656-C9B8-4DF8-9570-3859735071E3}" id="{C8F85372-BFA6-4AA9-A04B-14E00C969FC1}">
    <xltc:text>Source: original illustrative planning assumption, Finin2min, 25 October 2026; replace with actual operating or funding evidence. Not a quotation, statutory amount or guaranteed forecast.</xltc:text>
  </xltc:threadedComment>
  <xltc:threadedComment ref="J48" dT="2026-10-25T08:29:51.777" personId="{5586D656-C9B8-4DF8-9570-3859735071E3}" id="{C4F0D9D1-9142-47F8-8477-0956D50289FD}">
    <xltc:text>Source: original illustrative planning assumption, Finin2min, 25 October 2026; replace with actual operating or funding evidence. Not a quotation, statutory amount or guaranteed forecast.</xltc:text>
  </xltc:threadedComment>
  <xltc:threadedComment ref="K48" dT="2026-10-25T08:29:51.777" personId="{5586D656-C9B8-4DF8-9570-3859735071E3}" id="{A3AD42E9-D4B9-4B23-B690-11D789FA6FE1}">
    <xltc:text>Source: original illustrative planning assumption, Finin2min, 25 October 2026; replace with actual operating or funding evidence. Not a quotation, statutory amount or guaranteed forecast.</xltc:text>
  </xltc:threadedComment>
  <xltc:threadedComment ref="L48" dT="2026-10-25T08:29:51.777" personId="{5586D656-C9B8-4DF8-9570-3859735071E3}" id="{7846A5B9-07B1-4339-B34B-23472B9E4BB2}">
    <xltc:text>Source: original illustrative planning assumption, Finin2min, 25 October 2026; replace with actual operating or funding evidence. Not a quotation, statutory amount or guaranteed forecast.</xltc:text>
  </xltc:threadedComment>
  <xltc:threadedComment ref="M48" dT="2026-10-25T08:29:51.777" personId="{5586D656-C9B8-4DF8-9570-3859735071E3}" id="{B6FD0409-620B-4D8D-8BED-AB34E686F42E}">
    <xltc:text>Source: original illustrative planning assumption, Finin2min, 25 October 2026; replace with actual operating or funding evidence. Not a quotation, statutory amount or guaranteed forecast.</xltc:text>
  </xltc:threadedComment>
  <xltc:threadedComment ref="N48" dT="2026-10-25T08:29:51.777" personId="{5586D656-C9B8-4DF8-9570-3859735071E3}" id="{45673C91-0C96-4539-A4AD-1C20F3AA6CF0}">
    <xltc:text>Source: original illustrative planning assumption, Finin2min, 25 October 2026; replace with actual operating or funding evidence. Not a quotation, statutory amount or guaranteed forecast.</xltc:text>
  </xltc:threadedComment>
  <xltc:threadedComment ref="O48" dT="2026-10-25T08:29:51.777" personId="{5586D656-C9B8-4DF8-9570-3859735071E3}" id="{BF7D5BCC-FBBF-42C6-915A-E41E76A9C8FE}">
    <xltc:text>Source: original illustrative planning assumption, Finin2min, 25 October 2026; replace with actual operating or funding evidence. Not a quotation, statutory amount or guaranteed forecast.</xltc:text>
  </xltc:threadedComment>
  <xltc:threadedComment ref="E60" dT="2026-10-25T08:29:51.777" personId="{5586D656-C9B8-4DF8-9570-3859735071E3}" id="{D85B157E-9127-4ABE-AD2C-6E9F37CE25B8}">
    <xltc:text>Source: original illustrative planning assumption, Finin2min, 25 October 2026; replace with actual operating or funding evidence. Zero tax cash is an unresolved input, not exemption.</xltc:text>
  </xltc:threadedComment>
  <xltc:threadedComment ref="F60" dT="2026-10-25T08:29:51.777" personId="{5586D656-C9B8-4DF8-9570-3859735071E3}" id="{D2C8890F-1188-4BFC-B2DA-FAA1BB7B98E7}">
    <xltc:text>Source: original illustrative planning assumption, Finin2min, 25 October 2026; replace with actual operating or funding evidence. Zero tax cash is an unresolved input, not exemption.</xltc:text>
  </xltc:threadedComment>
  <xltc:threadedComment ref="G60" dT="2026-10-25T08:29:51.777" personId="{5586D656-C9B8-4DF8-9570-3859735071E3}" id="{D2F8D553-9679-4DBB-914A-C997CBF73B1E}">
    <xltc:text>Source: original illustrative planning assumption, Finin2min, 25 October 2026; replace with actual operating or funding evidence. Zero tax cash is an unresolved input, not exemption.</xltc:text>
  </xltc:threadedComment>
  <xltc:threadedComment ref="H60" dT="2026-10-25T08:29:51.777" personId="{5586D656-C9B8-4DF8-9570-3859735071E3}" id="{CC592478-B660-4356-8C0E-98D29DCBC10B}">
    <xltc:text>Source: original illustrative planning assumption, Finin2min, 25 October 2026; replace with actual operating or funding evidence. Zero tax cash is an unresolved input, not exemption.</xltc:text>
  </xltc:threadedComment>
  <xltc:threadedComment ref="I60" dT="2026-10-25T08:29:51.777" personId="{5586D656-C9B8-4DF8-9570-3859735071E3}" id="{3CC0FA6A-E767-430D-8880-AE6CBEE0DC23}">
    <xltc:text>Source: original illustrative planning assumption, Finin2min, 25 October 2026; replace with actual operating or funding evidence. Zero tax cash is an unresolved input, not exemption.</xltc:text>
  </xltc:threadedComment>
  <xltc:threadedComment ref="J60" dT="2026-10-25T08:29:51.777" personId="{5586D656-C9B8-4DF8-9570-3859735071E3}" id="{4E943947-12E0-48D2-A989-2F819F3DDE0D}">
    <xltc:text>Source: original illustrative planning assumption, Finin2min, 25 October 2026; replace with actual operating or funding evidence. Zero tax cash is an unresolved input, not exemption.</xltc:text>
  </xltc:threadedComment>
  <xltc:threadedComment ref="K60" dT="2026-10-25T08:29:51.777" personId="{5586D656-C9B8-4DF8-9570-3859735071E3}" id="{FB5E61E0-416A-49D8-939A-A194E3157D5C}">
    <xltc:text>Source: original illustrative planning assumption, Finin2min, 25 October 2026; replace with actual operating or funding evidence. Zero tax cash is an unresolved input, not exemption.</xltc:text>
  </xltc:threadedComment>
  <xltc:threadedComment ref="L60" dT="2026-10-25T08:29:51.777" personId="{5586D656-C9B8-4DF8-9570-3859735071E3}" id="{50BB6762-710C-4E4E-A019-0AFB4E5D0E4A}">
    <xltc:text>Source: original illustrative planning assumption, Finin2min, 25 October 2026; replace with actual operating or funding evidence. Zero tax cash is an unresolved input, not exemption.</xltc:text>
  </xltc:threadedComment>
  <xltc:threadedComment ref="M60" dT="2026-10-25T08:29:51.777" personId="{5586D656-C9B8-4DF8-9570-3859735071E3}" id="{A3F0F186-0295-41C3-96FF-E34D86056D30}">
    <xltc:text>Source: original illustrative planning assumption, Finin2min, 25 October 2026; replace with actual operating or funding evidence. Zero tax cash is an unresolved input, not exemption.</xltc:text>
  </xltc:threadedComment>
  <xltc:threadedComment ref="N60" dT="2026-10-25T08:29:51.777" personId="{5586D656-C9B8-4DF8-9570-3859735071E3}" id="{694830DC-00D8-4898-9A3F-72FF8C032D5E}">
    <xltc:text>Source: original illustrative planning assumption, Finin2min, 25 October 2026; replace with actual operating or funding evidence. Zero tax cash is an unresolved input, not exemption.</xltc:text>
  </xltc:threadedComment>
  <xltc:threadedComment ref="O60" dT="2026-10-25T08:29:51.777" personId="{5586D656-C9B8-4DF8-9570-3859735071E3}" id="{D0F6EA31-F183-43A1-AC47-48CE82658DB7}">
    <xltc:text>Source: original illustrative planning assumption, Finin2min, 25 October 2026; replace with actual operating or funding evidence. Zero tax cash is an unresolved input, not exemption.</xltc:text>
  </xltc:threadedComment>
  <xltc:threadedComment ref="E61" dT="2026-10-25T08:29:51.777" personId="{5586D656-C9B8-4DF8-9570-3859735071E3}" id="{726F89AD-FEA5-4C57-9ED3-EDE5AB85E394}">
    <xltc:text>Source: original illustrative planning assumption, Finin2min, 25 October 2026; replace with actual operating or funding evidence. Not a quotation, statutory amount or guaranteed forecast.</xltc:text>
  </xltc:threadedComment>
  <xltc:threadedComment ref="F61" dT="2026-10-25T08:29:51.777" personId="{5586D656-C9B8-4DF8-9570-3859735071E3}" id="{4BC8E1A7-9B1A-4B6E-B5AF-E5FE885B6AE7}">
    <xltc:text>Source: original illustrative planning assumption, Finin2min, 25 October 2026; replace with actual operating or funding evidence. Not a quotation, statutory amount or guaranteed forecast.</xltc:text>
  </xltc:threadedComment>
  <xltc:threadedComment ref="G61" dT="2026-10-25T08:29:51.777" personId="{5586D656-C9B8-4DF8-9570-3859735071E3}" id="{52704490-C9DF-4FED-8402-8E71F980DE6C}">
    <xltc:text>Source: original illustrative planning assumption, Finin2min, 25 October 2026; replace with actual operating or funding evidence. Not a quotation, statutory amount or guaranteed forecast.</xltc:text>
  </xltc:threadedComment>
  <xltc:threadedComment ref="H61" dT="2026-10-25T08:29:51.777" personId="{5586D656-C9B8-4DF8-9570-3859735071E3}" id="{890EE78E-95BA-47EA-A114-FC3CCD4937B0}">
    <xltc:text>Source: original illustrative planning assumption, Finin2min, 25 October 2026; replace with actual operating or funding evidence. Not a quotation, statutory amount or guaranteed forecast.</xltc:text>
  </xltc:threadedComment>
  <xltc:threadedComment ref="I61" dT="2026-10-25T08:29:51.777" personId="{5586D656-C9B8-4DF8-9570-3859735071E3}" id="{7A5A1B53-36AE-4106-B22C-330D4643FD9D}">
    <xltc:text>Source: original illustrative planning assumption, Finin2min, 25 October 2026; replace with actual operating or funding evidence. Not a quotation, statutory amount or guaranteed forecast.</xltc:text>
  </xltc:threadedComment>
  <xltc:threadedComment ref="J61" dT="2026-10-25T08:29:51.777" personId="{5586D656-C9B8-4DF8-9570-3859735071E3}" id="{83B41EA1-20C1-4F3D-979F-4C11FA1BA296}">
    <xltc:text>Source: original illustrative planning assumption, Finin2min, 25 October 2026; replace with actual operating or funding evidence. Not a quotation, statutory amount or guaranteed forecast.</xltc:text>
  </xltc:threadedComment>
  <xltc:threadedComment ref="K61" dT="2026-10-25T08:29:51.777" personId="{5586D656-C9B8-4DF8-9570-3859735071E3}" id="{B32EFF8B-FE40-467D-A6CF-A77356D7FAD8}">
    <xltc:text>Source: original illustrative planning assumption, Finin2min, 25 October 2026; replace with actual operating or funding evidence. Not a quotation, statutory amount or guaranteed forecast.</xltc:text>
  </xltc:threadedComment>
  <xltc:threadedComment ref="L61" dT="2026-10-25T08:29:51.777" personId="{5586D656-C9B8-4DF8-9570-3859735071E3}" id="{BA9906ED-041B-4019-8BC5-405ECE2E6507}">
    <xltc:text>Source: original illustrative planning assumption, Finin2min, 25 October 2026; replace with actual operating or funding evidence. Not a quotation, statutory amount or guaranteed forecast.</xltc:text>
  </xltc:threadedComment>
  <xltc:threadedComment ref="M61" dT="2026-10-25T08:29:51.777" personId="{5586D656-C9B8-4DF8-9570-3859735071E3}" id="{857C6DB4-0574-428C-ADA4-48E83BFC8CCA}">
    <xltc:text>Source: original illustrative planning assumption, Finin2min, 25 October 2026; replace with actual operating or funding evidence. Not a quotation, statutory amount or guaranteed forecast.</xltc:text>
  </xltc:threadedComment>
  <xltc:threadedComment ref="N61" dT="2026-10-25T08:29:51.777" personId="{5586D656-C9B8-4DF8-9570-3859735071E3}" id="{B34F0178-E7B3-4E2A-B04D-0D2B2B898BF3}">
    <xltc:text>Source: original illustrative planning assumption, Finin2min, 25 October 2026; replace with actual operating or funding evidence. Not a quotation, statutory amount or guaranteed forecast.</xltc:text>
  </xltc:threadedComment>
  <xltc:threadedComment ref="O61" dT="2026-10-25T08:29:51.777" personId="{5586D656-C9B8-4DF8-9570-3859735071E3}" id="{7983F858-710A-44FE-9C0E-B25702337C1C}">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3.xml><?xml version="1.0" encoding="utf-8"?>
<xltc:ThreadedComments xmlns:xltc="http://schemas.microsoft.com/office/spreadsheetml/2018/threadedcomments">
  <xltc:threadedComment ref="D35" dT="2026-10-25T08:24:07.093" personId="{5586D656-C9B8-4DF8-9570-3859735071E3}" id="{662078FA-05B1-41E5-9DC7-F6AC065D4C6B}">
    <xltc:text>Source: original illustrative planning assumptions, Finin2min, 25 October 2026. Replace with evidence. Not a quotation, statutory calculation or guaranteed forecast.</xltc:text>
  </xltc:threadedComment>
  <xltc:threadedComment ref="D48" dT="2026-10-25T08:24:07.093" personId="{5586D656-C9B8-4DF8-9570-3859735071E3}" id="{149D0925-7AC2-4DA6-AD4B-7159E968873D}">
    <xltc:text>Source: original illustrative planning assumptions, Finin2min, 25 October 2026. Replace with evidence. Not a quotation, statutory calculation or guaranteed forecast.</xltc:text>
  </xltc:threadedComment>
  <xltc:threadedComment ref="D60" dT="2026-10-25T08:24:07.093" personId="{5586D656-C9B8-4DF8-9570-3859735071E3}" id="{9432ABED-89B8-4C06-B3E9-7282A4008E50}">
    <xltc:text>Source: original illustrative planning assumptions, Finin2min, 25 October 2026. Replace with evidence. Tax cash begins at zero as an unresolved input, not a statement of exemption.</xltc:text>
  </xltc:threadedComment>
  <xltc:threadedComment ref="D61" dT="2026-10-25T08:24:07.093" personId="{5586D656-C9B8-4DF8-9570-3859735071E3}" id="{6FF0733E-D280-4610-8A53-AA4555FAD1D2}">
    <xltc:text>Source: original illustrative planning assumptions, Finin2min, 25 October 2026. Replace with evidence. Not a quotation, statutory calculation or guaranteed forecast.</xltc:text>
  </xltc:threadedComment>
  <xltc:threadedComment ref="B8" dT="2026-10-25T08:24:07.093" personId="{5586D656-C9B8-4DF8-9570-3859735071E3}" id="{36A810E2-1699-444B-802F-36558CDDE130}">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9" dT="2026-10-25T08:24:07.093" personId="{5586D656-C9B8-4DF8-9570-3859735071E3}" id="{A72959EC-7232-4036-9097-D706665AF6A4}">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0" dT="2026-10-25T08:24:07.093" personId="{5586D656-C9B8-4DF8-9570-3859735071E3}" id="{3B4D949F-BDD3-41A9-BBBE-6400298A893A}">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1" dT="2026-10-25T08:24:07.093" personId="{5586D656-C9B8-4DF8-9570-3859735071E3}" id="{F94ED0A1-EC88-46FD-97A6-3434777931B3}">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2" dT="2026-10-25T08:24:07.093" personId="{5586D656-C9B8-4DF8-9570-3859735071E3}" id="{2C3B9D80-E7A0-438A-9990-07A6D66DBCBF}">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3" dT="2026-10-25T08:24:07.093" personId="{5586D656-C9B8-4DF8-9570-3859735071E3}" id="{59483230-7778-4392-8D53-2DB740BA7F69}">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4" dT="2026-10-25T08:24:07.093" personId="{5586D656-C9B8-4DF8-9570-3859735071E3}" id="{4A847B6F-18EC-4385-9251-006D3967DFFD}">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5" dT="2026-10-25T08:24:07.093" personId="{5586D656-C9B8-4DF8-9570-3859735071E3}" id="{47CFDF38-3C67-476C-A9F1-01BB602374F4}">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6" dT="2026-10-25T08:24:07.093" personId="{5586D656-C9B8-4DF8-9570-3859735071E3}" id="{41DE450B-ACFA-4D3B-B276-6E9B2C6719D4}">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7" dT="2026-10-25T08:24:07.093" personId="{5586D656-C9B8-4DF8-9570-3859735071E3}" id="{EC21D225-0934-4A2A-8CA6-EC89FFBB31A9}">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8" dT="2026-10-25T08:24:07.093" personId="{5586D656-C9B8-4DF8-9570-3859735071E3}" id="{10AB7841-0104-42B5-A009-96BFD69DC6AA}">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9" dT="2026-10-25T08:24:07.093" personId="{5586D656-C9B8-4DF8-9570-3859735071E3}" id="{B1722A87-800B-4EC1-88FC-F9102B51440C}">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0" dT="2026-10-25T08:24:07.093" personId="{5586D656-C9B8-4DF8-9570-3859735071E3}" id="{4B46492D-6759-48CF-BBD6-064885857A20}">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1" dT="2026-10-25T08:24:07.093" personId="{5586D656-C9B8-4DF8-9570-3859735071E3}" id="{85A9B563-D0C8-4053-9D85-691B7B274095}">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2" dT="2026-10-25T08:24:07.093" personId="{5586D656-C9B8-4DF8-9570-3859735071E3}" id="{B29B00F3-8F69-4752-A9D2-43DDFFEF91B5}">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3" dT="2026-10-25T08:24:07.093" personId="{5586D656-C9B8-4DF8-9570-3859735071E3}" id="{AC036527-5490-403F-8887-3D2D43EA97DE}">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4" dT="2026-10-25T08:24:07.093" personId="{5586D656-C9B8-4DF8-9570-3859735071E3}" id="{F0FCEEFB-D272-42BF-BAE6-35193E671D20}">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5" dT="2026-10-25T08:24:07.093" personId="{5586D656-C9B8-4DF8-9570-3859735071E3}" id="{3F8BEB0F-2872-428C-980C-46EB39B1CD42}">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6" dT="2026-10-25T08:24:07.093" personId="{5586D656-C9B8-4DF8-9570-3859735071E3}" id="{C21E3322-D277-4B1B-87AA-BA0A0DDB79BE}">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7" dT="2026-10-25T08:24:07.093" personId="{5586D656-C9B8-4DF8-9570-3859735071E3}" id="{8B807334-0344-45E4-91F7-058F28222846}">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8" dT="2026-10-25T08:24:07.093" personId="{5586D656-C9B8-4DF8-9570-3859735071E3}" id="{9AA8118D-B4ED-4EE4-847C-12DF726CF2E7}">
    <xltc:text>Source: original illustrative Home Healthcare &amp; Elder-care Services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E35" dT="2026-10-25T08:29:51.777" personId="{5586D656-C9B8-4DF8-9570-3859735071E3}" id="{48605EFA-5C00-4F6C-83D4-CBF168D4C845}">
    <xltc:text>Source: original illustrative planning assumption, Finin2min, 25 October 2026; replace with actual operating or funding evidence. Not a quotation, statutory amount or guaranteed forecast.</xltc:text>
  </xltc:threadedComment>
  <xltc:threadedComment ref="F35" dT="2026-10-25T08:29:51.777" personId="{5586D656-C9B8-4DF8-9570-3859735071E3}" id="{D39C4A89-AC52-4892-BAFD-B42170610559}">
    <xltc:text>Source: original illustrative planning assumption, Finin2min, 25 October 2026; replace with actual operating or funding evidence. Not a quotation, statutory amount or guaranteed forecast.</xltc:text>
  </xltc:threadedComment>
  <xltc:threadedComment ref="G35" dT="2026-10-25T08:29:51.777" personId="{5586D656-C9B8-4DF8-9570-3859735071E3}" id="{31C2A7D9-4927-4B40-9C06-3935B5F29534}">
    <xltc:text>Source: original illustrative planning assumption, Finin2min, 25 October 2026; replace with actual operating or funding evidence. Not a quotation, statutory amount or guaranteed forecast.</xltc:text>
  </xltc:threadedComment>
  <xltc:threadedComment ref="H35" dT="2026-10-25T08:29:51.777" personId="{5586D656-C9B8-4DF8-9570-3859735071E3}" id="{12813AFC-D322-4722-A547-F455C338B371}">
    <xltc:text>Source: original illustrative planning assumption, Finin2min, 25 October 2026; replace with actual operating or funding evidence. Not a quotation, statutory amount or guaranteed forecast.</xltc:text>
  </xltc:threadedComment>
  <xltc:threadedComment ref="I35" dT="2026-10-25T08:29:51.777" personId="{5586D656-C9B8-4DF8-9570-3859735071E3}" id="{8AC1EA97-6D01-464D-9187-6E4922D3828C}">
    <xltc:text>Source: original illustrative planning assumption, Finin2min, 25 October 2026; replace with actual operating or funding evidence. Not a quotation, statutory amount or guaranteed forecast.</xltc:text>
  </xltc:threadedComment>
  <xltc:threadedComment ref="J35" dT="2026-10-25T08:29:51.777" personId="{5586D656-C9B8-4DF8-9570-3859735071E3}" id="{92ECCF28-6F4E-4AE8-A357-98A9B4161424}">
    <xltc:text>Source: original illustrative planning assumption, Finin2min, 25 October 2026; replace with actual operating or funding evidence. Not a quotation, statutory amount or guaranteed forecast.</xltc:text>
  </xltc:threadedComment>
  <xltc:threadedComment ref="K35" dT="2026-10-25T08:29:51.777" personId="{5586D656-C9B8-4DF8-9570-3859735071E3}" id="{2B1BD087-EFE4-4AF1-9588-B85FD77AB8C4}">
    <xltc:text>Source: original illustrative planning assumption, Finin2min, 25 October 2026; replace with actual operating or funding evidence. Not a quotation, statutory amount or guaranteed forecast.</xltc:text>
  </xltc:threadedComment>
  <xltc:threadedComment ref="L35" dT="2026-10-25T08:29:51.777" personId="{5586D656-C9B8-4DF8-9570-3859735071E3}" id="{8D48A5B7-FAE0-45CF-A7A4-59864C5AA2C8}">
    <xltc:text>Source: original illustrative planning assumption, Finin2min, 25 October 2026; replace with actual operating or funding evidence. Not a quotation, statutory amount or guaranteed forecast.</xltc:text>
  </xltc:threadedComment>
  <xltc:threadedComment ref="M35" dT="2026-10-25T08:29:51.777" personId="{5586D656-C9B8-4DF8-9570-3859735071E3}" id="{3128EDFF-9722-4542-8B9D-6B658CF5515A}">
    <xltc:text>Source: original illustrative planning assumption, Finin2min, 25 October 2026; replace with actual operating or funding evidence. Not a quotation, statutory amount or guaranteed forecast.</xltc:text>
  </xltc:threadedComment>
  <xltc:threadedComment ref="N35" dT="2026-10-25T08:29:51.777" personId="{5586D656-C9B8-4DF8-9570-3859735071E3}" id="{17FF8F2E-7C2A-4B7C-8C58-989EA097BAB6}">
    <xltc:text>Source: original illustrative planning assumption, Finin2min, 25 October 2026; replace with actual operating or funding evidence. Not a quotation, statutory amount or guaranteed forecast.</xltc:text>
  </xltc:threadedComment>
  <xltc:threadedComment ref="O35" dT="2026-10-25T08:29:51.777" personId="{5586D656-C9B8-4DF8-9570-3859735071E3}" id="{D5B65D74-6E69-466D-B6AC-01896EC9DE1B}">
    <xltc:text>Source: original illustrative planning assumption, Finin2min, 25 October 2026; replace with actual operating or funding evidence. Not a quotation, statutory amount or guaranteed forecast.</xltc:text>
  </xltc:threadedComment>
  <xltc:threadedComment ref="E48" dT="2026-10-25T08:29:51.777" personId="{5586D656-C9B8-4DF8-9570-3859735071E3}" id="{16FD56E6-3B97-4200-9505-2F7D91558EB9}">
    <xltc:text>Source: original illustrative planning assumption, Finin2min, 25 October 2026; replace with actual operating or funding evidence. Not a quotation, statutory amount or guaranteed forecast.</xltc:text>
  </xltc:threadedComment>
  <xltc:threadedComment ref="F48" dT="2026-10-25T08:29:51.777" personId="{5586D656-C9B8-4DF8-9570-3859735071E3}" id="{2BBF3171-BD39-4D8F-9403-BC66737D45C2}">
    <xltc:text>Source: original illustrative planning assumption, Finin2min, 25 October 2026; replace with actual operating or funding evidence. Not a quotation, statutory amount or guaranteed forecast.</xltc:text>
  </xltc:threadedComment>
  <xltc:threadedComment ref="G48" dT="2026-10-25T08:29:51.777" personId="{5586D656-C9B8-4DF8-9570-3859735071E3}" id="{41C1222B-E506-4AF5-926E-F5D57643AC20}">
    <xltc:text>Source: original illustrative planning assumption, Finin2min, 25 October 2026; replace with actual operating or funding evidence. Not a quotation, statutory amount or guaranteed forecast.</xltc:text>
  </xltc:threadedComment>
  <xltc:threadedComment ref="H48" dT="2026-10-25T08:29:51.777" personId="{5586D656-C9B8-4DF8-9570-3859735071E3}" id="{9BF55A2C-D20D-488A-BE50-E9BF6507A08D}">
    <xltc:text>Source: original illustrative planning assumption, Finin2min, 25 October 2026; replace with actual operating or funding evidence. Not a quotation, statutory amount or guaranteed forecast.</xltc:text>
  </xltc:threadedComment>
  <xltc:threadedComment ref="I48" dT="2026-10-25T08:29:51.777" personId="{5586D656-C9B8-4DF8-9570-3859735071E3}" id="{89E0DF6A-0DFD-4848-8912-4802953EB8A1}">
    <xltc:text>Source: original illustrative planning assumption, Finin2min, 25 October 2026; replace with actual operating or funding evidence. Not a quotation, statutory amount or guaranteed forecast.</xltc:text>
  </xltc:threadedComment>
  <xltc:threadedComment ref="J48" dT="2026-10-25T08:29:51.777" personId="{5586D656-C9B8-4DF8-9570-3859735071E3}" id="{70D1F485-CC69-4B95-838E-FB33B56C1942}">
    <xltc:text>Source: original illustrative planning assumption, Finin2min, 25 October 2026; replace with actual operating or funding evidence. Not a quotation, statutory amount or guaranteed forecast.</xltc:text>
  </xltc:threadedComment>
  <xltc:threadedComment ref="K48" dT="2026-10-25T08:29:51.777" personId="{5586D656-C9B8-4DF8-9570-3859735071E3}" id="{7E5E3860-AC10-45F5-904A-7F5C569552AE}">
    <xltc:text>Source: original illustrative planning assumption, Finin2min, 25 October 2026; replace with actual operating or funding evidence. Not a quotation, statutory amount or guaranteed forecast.</xltc:text>
  </xltc:threadedComment>
  <xltc:threadedComment ref="L48" dT="2026-10-25T08:29:51.777" personId="{5586D656-C9B8-4DF8-9570-3859735071E3}" id="{46C6D85A-B4EB-4F18-849E-CF39E3B5C4AD}">
    <xltc:text>Source: original illustrative planning assumption, Finin2min, 25 October 2026; replace with actual operating or funding evidence. Not a quotation, statutory amount or guaranteed forecast.</xltc:text>
  </xltc:threadedComment>
  <xltc:threadedComment ref="M48" dT="2026-10-25T08:29:51.777" personId="{5586D656-C9B8-4DF8-9570-3859735071E3}" id="{54CD74E7-9ACC-4433-8C76-F905AA539C1D}">
    <xltc:text>Source: original illustrative planning assumption, Finin2min, 25 October 2026; replace with actual operating or funding evidence. Not a quotation, statutory amount or guaranteed forecast.</xltc:text>
  </xltc:threadedComment>
  <xltc:threadedComment ref="N48" dT="2026-10-25T08:29:51.777" personId="{5586D656-C9B8-4DF8-9570-3859735071E3}" id="{B414C643-68D5-4DBF-B5AE-6827F5D15DAA}">
    <xltc:text>Source: original illustrative planning assumption, Finin2min, 25 October 2026; replace with actual operating or funding evidence. Not a quotation, statutory amount or guaranteed forecast.</xltc:text>
  </xltc:threadedComment>
  <xltc:threadedComment ref="O48" dT="2026-10-25T08:29:51.777" personId="{5586D656-C9B8-4DF8-9570-3859735071E3}" id="{33D2D754-60F3-4CFA-9021-E62FA8058E10}">
    <xltc:text>Source: original illustrative planning assumption, Finin2min, 25 October 2026; replace with actual operating or funding evidence. Not a quotation, statutory amount or guaranteed forecast.</xltc:text>
  </xltc:threadedComment>
  <xltc:threadedComment ref="E60" dT="2026-10-25T08:29:51.777" personId="{5586D656-C9B8-4DF8-9570-3859735071E3}" id="{5A30AE53-D56B-48A0-9986-1572BC2534A5}">
    <xltc:text>Source: original illustrative planning assumption, Finin2min, 25 October 2026; replace with actual operating or funding evidence. Zero tax cash is an unresolved input, not exemption.</xltc:text>
  </xltc:threadedComment>
  <xltc:threadedComment ref="F60" dT="2026-10-25T08:29:51.777" personId="{5586D656-C9B8-4DF8-9570-3859735071E3}" id="{763E0DE6-F4A2-4B4E-89B9-869F58512F48}">
    <xltc:text>Source: original illustrative planning assumption, Finin2min, 25 October 2026; replace with actual operating or funding evidence. Zero tax cash is an unresolved input, not exemption.</xltc:text>
  </xltc:threadedComment>
  <xltc:threadedComment ref="G60" dT="2026-10-25T08:29:51.777" personId="{5586D656-C9B8-4DF8-9570-3859735071E3}" id="{AF3C828C-4C91-4B7C-A7DF-9B83BE8114D6}">
    <xltc:text>Source: original illustrative planning assumption, Finin2min, 25 October 2026; replace with actual operating or funding evidence. Zero tax cash is an unresolved input, not exemption.</xltc:text>
  </xltc:threadedComment>
  <xltc:threadedComment ref="H60" dT="2026-10-25T08:29:51.777" personId="{5586D656-C9B8-4DF8-9570-3859735071E3}" id="{B71544C4-03D8-44AD-80B4-4A23D727EE04}">
    <xltc:text>Source: original illustrative planning assumption, Finin2min, 25 October 2026; replace with actual operating or funding evidence. Zero tax cash is an unresolved input, not exemption.</xltc:text>
  </xltc:threadedComment>
  <xltc:threadedComment ref="I60" dT="2026-10-25T08:29:51.777" personId="{5586D656-C9B8-4DF8-9570-3859735071E3}" id="{0B327B8D-D9E7-4A2F-8C6A-E827186B4446}">
    <xltc:text>Source: original illustrative planning assumption, Finin2min, 25 October 2026; replace with actual operating or funding evidence. Zero tax cash is an unresolved input, not exemption.</xltc:text>
  </xltc:threadedComment>
  <xltc:threadedComment ref="J60" dT="2026-10-25T08:29:51.777" personId="{5586D656-C9B8-4DF8-9570-3859735071E3}" id="{293DDD7C-6B0C-4577-A2C8-34FD60A146F2}">
    <xltc:text>Source: original illustrative planning assumption, Finin2min, 25 October 2026; replace with actual operating or funding evidence. Zero tax cash is an unresolved input, not exemption.</xltc:text>
  </xltc:threadedComment>
  <xltc:threadedComment ref="K60" dT="2026-10-25T08:29:51.777" personId="{5586D656-C9B8-4DF8-9570-3859735071E3}" id="{6FC4CA39-A500-40B0-BDA9-5B287704B34A}">
    <xltc:text>Source: original illustrative planning assumption, Finin2min, 25 October 2026; replace with actual operating or funding evidence. Zero tax cash is an unresolved input, not exemption.</xltc:text>
  </xltc:threadedComment>
  <xltc:threadedComment ref="L60" dT="2026-10-25T08:29:51.777" personId="{5586D656-C9B8-4DF8-9570-3859735071E3}" id="{B4F9C63D-E6D0-4206-88FF-C43E8585F6A7}">
    <xltc:text>Source: original illustrative planning assumption, Finin2min, 25 October 2026; replace with actual operating or funding evidence. Zero tax cash is an unresolved input, not exemption.</xltc:text>
  </xltc:threadedComment>
  <xltc:threadedComment ref="M60" dT="2026-10-25T08:29:51.777" personId="{5586D656-C9B8-4DF8-9570-3859735071E3}" id="{59EE4BD5-23EE-477F-8ABF-0848F059E3B9}">
    <xltc:text>Source: original illustrative planning assumption, Finin2min, 25 October 2026; replace with actual operating or funding evidence. Zero tax cash is an unresolved input, not exemption.</xltc:text>
  </xltc:threadedComment>
  <xltc:threadedComment ref="N60" dT="2026-10-25T08:29:51.777" personId="{5586D656-C9B8-4DF8-9570-3859735071E3}" id="{80184BEE-9AD6-4FF9-91F1-80F264017FC0}">
    <xltc:text>Source: original illustrative planning assumption, Finin2min, 25 October 2026; replace with actual operating or funding evidence. Zero tax cash is an unresolved input, not exemption.</xltc:text>
  </xltc:threadedComment>
  <xltc:threadedComment ref="O60" dT="2026-10-25T08:29:51.777" personId="{5586D656-C9B8-4DF8-9570-3859735071E3}" id="{4C4F0B92-641A-4B74-9F2F-221AE0B27D9B}">
    <xltc:text>Source: original illustrative planning assumption, Finin2min, 25 October 2026; replace with actual operating or funding evidence. Zero tax cash is an unresolved input, not exemption.</xltc:text>
  </xltc:threadedComment>
  <xltc:threadedComment ref="E61" dT="2026-10-25T08:29:51.777" personId="{5586D656-C9B8-4DF8-9570-3859735071E3}" id="{17665581-70E2-456B-88B3-863489356FB4}">
    <xltc:text>Source: original illustrative planning assumption, Finin2min, 25 October 2026; replace with actual operating or funding evidence. Not a quotation, statutory amount or guaranteed forecast.</xltc:text>
  </xltc:threadedComment>
  <xltc:threadedComment ref="F61" dT="2026-10-25T08:29:51.778" personId="{5586D656-C9B8-4DF8-9570-3859735071E3}" id="{473B4221-0978-40EB-B3E5-86D63E28A69E}">
    <xltc:text>Source: original illustrative planning assumption, Finin2min, 25 October 2026; replace with actual operating or funding evidence. Not a quotation, statutory amount or guaranteed forecast.</xltc:text>
  </xltc:threadedComment>
  <xltc:threadedComment ref="G61" dT="2026-10-25T08:29:51.778" personId="{5586D656-C9B8-4DF8-9570-3859735071E3}" id="{21605097-1F82-4F0D-8EFA-11BD912A22BD}">
    <xltc:text>Source: original illustrative planning assumption, Finin2min, 25 October 2026; replace with actual operating or funding evidence. Not a quotation, statutory amount or guaranteed forecast.</xltc:text>
  </xltc:threadedComment>
  <xltc:threadedComment ref="H61" dT="2026-10-25T08:29:51.778" personId="{5586D656-C9B8-4DF8-9570-3859735071E3}" id="{9F939462-9DC1-4762-BB0F-5B99988EE88E}">
    <xltc:text>Source: original illustrative planning assumption, Finin2min, 25 October 2026; replace with actual operating or funding evidence. Not a quotation, statutory amount or guaranteed forecast.</xltc:text>
  </xltc:threadedComment>
  <xltc:threadedComment ref="I61" dT="2026-10-25T08:29:51.778" personId="{5586D656-C9B8-4DF8-9570-3859735071E3}" id="{D9EDC416-DEC1-4880-AE93-6C83F44709D1}">
    <xltc:text>Source: original illustrative planning assumption, Finin2min, 25 October 2026; replace with actual operating or funding evidence. Not a quotation, statutory amount or guaranteed forecast.</xltc:text>
  </xltc:threadedComment>
  <xltc:threadedComment ref="J61" dT="2026-10-25T08:29:51.778" personId="{5586D656-C9B8-4DF8-9570-3859735071E3}" id="{0C566EFC-40DC-44E4-B925-ECA42A4A4D77}">
    <xltc:text>Source: original illustrative planning assumption, Finin2min, 25 October 2026; replace with actual operating or funding evidence. Not a quotation, statutory amount or guaranteed forecast.</xltc:text>
  </xltc:threadedComment>
  <xltc:threadedComment ref="K61" dT="2026-10-25T08:29:51.778" personId="{5586D656-C9B8-4DF8-9570-3859735071E3}" id="{B50DF92F-EBD6-4E23-AAD4-2708E7C0A2B7}">
    <xltc:text>Source: original illustrative planning assumption, Finin2min, 25 October 2026; replace with actual operating or funding evidence. Not a quotation, statutory amount or guaranteed forecast.</xltc:text>
  </xltc:threadedComment>
  <xltc:threadedComment ref="L61" dT="2026-10-25T08:29:51.778" personId="{5586D656-C9B8-4DF8-9570-3859735071E3}" id="{E1C60A96-F49A-4EE6-AEF9-DCB0C22E672C}">
    <xltc:text>Source: original illustrative planning assumption, Finin2min, 25 October 2026; replace with actual operating or funding evidence. Not a quotation, statutory amount or guaranteed forecast.</xltc:text>
  </xltc:threadedComment>
  <xltc:threadedComment ref="M61" dT="2026-10-25T08:29:51.778" personId="{5586D656-C9B8-4DF8-9570-3859735071E3}" id="{1551485C-33B9-4ECE-B31A-0CB65104D458}">
    <xltc:text>Source: original illustrative planning assumption, Finin2min, 25 October 2026; replace with actual operating or funding evidence. Not a quotation, statutory amount or guaranteed forecast.</xltc:text>
  </xltc:threadedComment>
  <xltc:threadedComment ref="N61" dT="2026-10-25T08:29:51.778" personId="{5586D656-C9B8-4DF8-9570-3859735071E3}" id="{FDF455BE-868A-4BDB-B948-A9D7FA7AF647}">
    <xltc:text>Source: original illustrative planning assumption, Finin2min, 25 October 2026; replace with actual operating or funding evidence. Not a quotation, statutory amount or guaranteed forecast.</xltc:text>
  </xltc:threadedComment>
  <xltc:threadedComment ref="O61" dT="2026-10-25T08:29:51.778" personId="{5586D656-C9B8-4DF8-9570-3859735071E3}" id="{AAC215EE-8DCD-4420-B208-835DB168CDDF}">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4.xml><?xml version="1.0" encoding="utf-8"?>
<xltc:ThreadedComments xmlns:xltc="http://schemas.microsoft.com/office/spreadsheetml/2018/threadedcomments">
  <xltc:threadedComment ref="D35" dT="2026-10-25T08:24:07.093" personId="{5586D656-C9B8-4DF8-9570-3859735071E3}" id="{245DCAD2-5ABD-45EE-AB32-2EF12B641051}">
    <xltc:text>Source: original illustrative planning assumptions, Finin2min, 25 October 2026. Replace with evidence. Not a quotation, statutory calculation or guaranteed forecast.</xltc:text>
  </xltc:threadedComment>
  <xltc:threadedComment ref="D48" dT="2026-10-25T08:24:07.093" personId="{5586D656-C9B8-4DF8-9570-3859735071E3}" id="{5FB004C8-70ED-456E-9946-92BFFABDD089}">
    <xltc:text>Source: original illustrative planning assumptions, Finin2min, 25 October 2026. Replace with evidence. Not a quotation, statutory calculation or guaranteed forecast.</xltc:text>
  </xltc:threadedComment>
  <xltc:threadedComment ref="D60" dT="2026-10-25T08:24:07.094" personId="{5586D656-C9B8-4DF8-9570-3859735071E3}" id="{5C68FFF7-CE7F-4E62-8960-DACBFC3FA249}">
    <xltc:text>Source: original illustrative planning assumptions, Finin2min, 25 October 2026. Replace with evidence. Tax cash begins at zero as an unresolved input, not a statement of exemption.</xltc:text>
  </xltc:threadedComment>
  <xltc:threadedComment ref="D61" dT="2026-10-25T08:24:07.094" personId="{5586D656-C9B8-4DF8-9570-3859735071E3}" id="{0DBE6DFA-DC62-45C4-94DA-9451E191098F}">
    <xltc:text>Source: original illustrative planning assumptions, Finin2min, 25 October 2026. Replace with evidence. Not a quotation, statutory calculation or guaranteed forecast.</xltc:text>
  </xltc:threadedComment>
  <xltc:threadedComment ref="B8" dT="2026-10-25T08:24:07.094" personId="{5586D656-C9B8-4DF8-9570-3859735071E3}" id="{26ADBF38-F9F7-449C-AE79-1DF4C89AC1A6}">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9" dT="2026-10-25T08:24:07.094" personId="{5586D656-C9B8-4DF8-9570-3859735071E3}" id="{3E880BC7-4005-4063-BD48-88066885549F}">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0" dT="2026-10-25T08:24:07.094" personId="{5586D656-C9B8-4DF8-9570-3859735071E3}" id="{5488A78E-CE42-48B4-924E-FD5A1CAAA12C}">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1" dT="2026-10-25T08:24:07.094" personId="{5586D656-C9B8-4DF8-9570-3859735071E3}" id="{9073A635-3AB4-4CC7-AFEA-82C312982E01}">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2" dT="2026-10-25T08:24:07.094" personId="{5586D656-C9B8-4DF8-9570-3859735071E3}" id="{849B2271-8AEA-4C9E-B7B8-BB9DABA294DF}">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3" dT="2026-10-25T08:24:07.094" personId="{5586D656-C9B8-4DF8-9570-3859735071E3}" id="{AD21B6CE-AD79-477E-9CC9-07544834DF4F}">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4" dT="2026-10-25T08:24:07.094" personId="{5586D656-C9B8-4DF8-9570-3859735071E3}" id="{E60A0A38-7614-4E32-840B-F471A91ACEF8}">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5" dT="2026-10-25T08:24:07.094" personId="{5586D656-C9B8-4DF8-9570-3859735071E3}" id="{407CDB09-F4FD-404D-890B-E9349EB9EAB8}">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6" dT="2026-10-25T08:24:07.094" personId="{5586D656-C9B8-4DF8-9570-3859735071E3}" id="{F56552D9-8B35-4531-B7B5-82CF6A89B21E}">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7" dT="2026-10-25T08:24:07.094" personId="{5586D656-C9B8-4DF8-9570-3859735071E3}" id="{32F8EC22-21CB-4038-AFAF-C16C482A9995}">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8" dT="2026-10-25T08:24:07.094" personId="{5586D656-C9B8-4DF8-9570-3859735071E3}" id="{CED48CFC-8352-4B93-B581-CCEFF4A9376E}">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19" dT="2026-10-25T08:24:07.094" personId="{5586D656-C9B8-4DF8-9570-3859735071E3}" id="{7C2D4E2A-2017-4569-A821-2DAA770F147A}">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0" dT="2026-10-25T08:24:07.094" personId="{5586D656-C9B8-4DF8-9570-3859735071E3}" id="{52A644C5-D3E4-4825-B80A-2CADF8D07D77}">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1" dT="2026-10-25T08:24:07.094" personId="{5586D656-C9B8-4DF8-9570-3859735071E3}" id="{2BC66F5F-D46C-4F75-90C7-4D58C398501B}">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2" dT="2026-10-25T08:24:07.094" personId="{5586D656-C9B8-4DF8-9570-3859735071E3}" id="{EB44B06A-69FD-49C7-99B5-197C1BF9D3B2}">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3" dT="2026-10-25T08:24:07.094" personId="{5586D656-C9B8-4DF8-9570-3859735071E3}" id="{CFF9961D-C21A-470D-80BC-B452D97DB860}">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4" dT="2026-10-25T08:24:07.094" personId="{5586D656-C9B8-4DF8-9570-3859735071E3}" id="{83356FB2-1D9C-4C52-8C27-B34E40462E45}">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5" dT="2026-10-25T08:24:07.094" personId="{5586D656-C9B8-4DF8-9570-3859735071E3}" id="{00C37110-7F68-49F0-833B-545CE831DD1B}">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6" dT="2026-10-25T08:24:07.094" personId="{5586D656-C9B8-4DF8-9570-3859735071E3}" id="{604557B3-F355-48AD-BEB1-5C38EF28561F}">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7" dT="2026-10-25T08:24:07.094" personId="{5586D656-C9B8-4DF8-9570-3859735071E3}" id="{044AF647-9AF2-4E88-9C57-08CC54BA297D}">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B28" dT="2026-10-25T08:24:07.094" personId="{5586D656-C9B8-4DF8-9570-3859735071E3}" id="{F1F15EF1-A27D-4761-AFCE-DE6B609EF0CD}">
    <xltc:text>Source: original illustrative Packaged Food Processing &amp; Private-label Brand scenario prepared by Finin2min Editorial Desk on 25 October 2026. Not researched market prices or statutory fees. Replace with signed quotes, contracts, capacity evidence and actual operating data. Sector context: https://foscos.fssai.gov.in/public/assets/docs/Revised_2ndApril2026KindofBusinessEligibility.pdf</xltc:text>
  </xltc:threadedComment>
  <xltc:threadedComment ref="E35" dT="2026-10-25T08:29:51.778" personId="{5586D656-C9B8-4DF8-9570-3859735071E3}" id="{CD79631C-897A-4D2B-8572-7260ECBDCA18}">
    <xltc:text>Source: original illustrative planning assumption, Finin2min, 25 October 2026; replace with actual operating or funding evidence. Not a quotation, statutory amount or guaranteed forecast.</xltc:text>
  </xltc:threadedComment>
  <xltc:threadedComment ref="F35" dT="2026-10-25T08:29:51.778" personId="{5586D656-C9B8-4DF8-9570-3859735071E3}" id="{AEB24150-A708-4DA0-ABB2-510F0F3A7C80}">
    <xltc:text>Source: original illustrative planning assumption, Finin2min, 25 October 2026; replace with actual operating or funding evidence. Not a quotation, statutory amount or guaranteed forecast.</xltc:text>
  </xltc:threadedComment>
  <xltc:threadedComment ref="G35" dT="2026-10-25T08:29:51.778" personId="{5586D656-C9B8-4DF8-9570-3859735071E3}" id="{1D801211-D8D9-461E-AAAA-1252B03BFFA9}">
    <xltc:text>Source: original illustrative planning assumption, Finin2min, 25 October 2026; replace with actual operating or funding evidence. Not a quotation, statutory amount or guaranteed forecast.</xltc:text>
  </xltc:threadedComment>
  <xltc:threadedComment ref="H35" dT="2026-10-25T08:29:51.778" personId="{5586D656-C9B8-4DF8-9570-3859735071E3}" id="{3F224E75-7815-4172-B15A-CF19DAE548FD}">
    <xltc:text>Source: original illustrative planning assumption, Finin2min, 25 October 2026; replace with actual operating or funding evidence. Not a quotation, statutory amount or guaranteed forecast.</xltc:text>
  </xltc:threadedComment>
  <xltc:threadedComment ref="I35" dT="2026-10-25T08:29:51.778" personId="{5586D656-C9B8-4DF8-9570-3859735071E3}" id="{C2AAA6CF-08EE-436E-8A4A-C09F59B2588E}">
    <xltc:text>Source: original illustrative planning assumption, Finin2min, 25 October 2026; replace with actual operating or funding evidence. Not a quotation, statutory amount or guaranteed forecast.</xltc:text>
  </xltc:threadedComment>
  <xltc:threadedComment ref="J35" dT="2026-10-25T08:29:51.778" personId="{5586D656-C9B8-4DF8-9570-3859735071E3}" id="{F33DE888-3D09-424F-9680-CFD39BDEC81D}">
    <xltc:text>Source: original illustrative planning assumption, Finin2min, 25 October 2026; replace with actual operating or funding evidence. Not a quotation, statutory amount or guaranteed forecast.</xltc:text>
  </xltc:threadedComment>
  <xltc:threadedComment ref="K35" dT="2026-10-25T08:29:51.778" personId="{5586D656-C9B8-4DF8-9570-3859735071E3}" id="{F46C09AD-0052-4628-9665-CC550E575D41}">
    <xltc:text>Source: original illustrative planning assumption, Finin2min, 25 October 2026; replace with actual operating or funding evidence. Not a quotation, statutory amount or guaranteed forecast.</xltc:text>
  </xltc:threadedComment>
  <xltc:threadedComment ref="L35" dT="2026-10-25T08:29:51.778" personId="{5586D656-C9B8-4DF8-9570-3859735071E3}" id="{E1A3A441-E397-4E87-A194-ACEC682ADFA8}">
    <xltc:text>Source: original illustrative planning assumption, Finin2min, 25 October 2026; replace with actual operating or funding evidence. Not a quotation, statutory amount or guaranteed forecast.</xltc:text>
  </xltc:threadedComment>
  <xltc:threadedComment ref="M35" dT="2026-10-25T08:29:51.778" personId="{5586D656-C9B8-4DF8-9570-3859735071E3}" id="{A67F3A63-1BE8-4834-871E-FB5A060C1D11}">
    <xltc:text>Source: original illustrative planning assumption, Finin2min, 25 October 2026; replace with actual operating or funding evidence. Not a quotation, statutory amount or guaranteed forecast.</xltc:text>
  </xltc:threadedComment>
  <xltc:threadedComment ref="N35" dT="2026-10-25T08:29:51.778" personId="{5586D656-C9B8-4DF8-9570-3859735071E3}" id="{D7A04064-F3F8-4523-806C-F839EE63F1D3}">
    <xltc:text>Source: original illustrative planning assumption, Finin2min, 25 October 2026; replace with actual operating or funding evidence. Not a quotation, statutory amount or guaranteed forecast.</xltc:text>
  </xltc:threadedComment>
  <xltc:threadedComment ref="O35" dT="2026-10-25T08:29:51.778" personId="{5586D656-C9B8-4DF8-9570-3859735071E3}" id="{D67A8CD0-3F5F-4541-8CDA-E04C8717AB22}">
    <xltc:text>Source: original illustrative planning assumption, Finin2min, 25 October 2026; replace with actual operating or funding evidence. Not a quotation, statutory amount or guaranteed forecast.</xltc:text>
  </xltc:threadedComment>
  <xltc:threadedComment ref="E48" dT="2026-10-25T08:29:51.778" personId="{5586D656-C9B8-4DF8-9570-3859735071E3}" id="{7C4CE4ED-D605-4062-83BD-7DE2B17EDD50}">
    <xltc:text>Source: original illustrative planning assumption, Finin2min, 25 October 2026; replace with actual operating or funding evidence. Not a quotation, statutory amount or guaranteed forecast.</xltc:text>
  </xltc:threadedComment>
  <xltc:threadedComment ref="F48" dT="2026-10-25T08:29:51.778" personId="{5586D656-C9B8-4DF8-9570-3859735071E3}" id="{8FF63486-7249-48C9-B51E-DF10AFF2F01B}">
    <xltc:text>Source: original illustrative planning assumption, Finin2min, 25 October 2026; replace with actual operating or funding evidence. Not a quotation, statutory amount or guaranteed forecast.</xltc:text>
  </xltc:threadedComment>
  <xltc:threadedComment ref="G48" dT="2026-10-25T08:29:51.778" personId="{5586D656-C9B8-4DF8-9570-3859735071E3}" id="{88A274D6-7B58-4A8B-859E-1F642EE14B1D}">
    <xltc:text>Source: original illustrative planning assumption, Finin2min, 25 October 2026; replace with actual operating or funding evidence. Not a quotation, statutory amount or guaranteed forecast.</xltc:text>
  </xltc:threadedComment>
  <xltc:threadedComment ref="H48" dT="2026-10-25T08:29:51.778" personId="{5586D656-C9B8-4DF8-9570-3859735071E3}" id="{6E70169D-CA72-48A6-B0D7-AA7E6C1D669A}">
    <xltc:text>Source: original illustrative planning assumption, Finin2min, 25 October 2026; replace with actual operating or funding evidence. Not a quotation, statutory amount or guaranteed forecast.</xltc:text>
  </xltc:threadedComment>
  <xltc:threadedComment ref="I48" dT="2026-10-25T08:29:51.778" personId="{5586D656-C9B8-4DF8-9570-3859735071E3}" id="{D4705292-59E4-4BCC-AFB8-6E1771AFCCB3}">
    <xltc:text>Source: original illustrative planning assumption, Finin2min, 25 October 2026; replace with actual operating or funding evidence. Not a quotation, statutory amount or guaranteed forecast.</xltc:text>
  </xltc:threadedComment>
  <xltc:threadedComment ref="J48" dT="2026-10-25T08:29:51.778" personId="{5586D656-C9B8-4DF8-9570-3859735071E3}" id="{46A11E14-CA93-4296-B27D-FD6F69EEC668}">
    <xltc:text>Source: original illustrative planning assumption, Finin2min, 25 October 2026; replace with actual operating or funding evidence. Not a quotation, statutory amount or guaranteed forecast.</xltc:text>
  </xltc:threadedComment>
  <xltc:threadedComment ref="K48" dT="2026-10-25T08:29:51.778" personId="{5586D656-C9B8-4DF8-9570-3859735071E3}" id="{66C2EABE-E385-4B9F-8245-A79E67580582}">
    <xltc:text>Source: original illustrative planning assumption, Finin2min, 25 October 2026; replace with actual operating or funding evidence. Not a quotation, statutory amount or guaranteed forecast.</xltc:text>
  </xltc:threadedComment>
  <xltc:threadedComment ref="L48" dT="2026-10-25T08:29:51.778" personId="{5586D656-C9B8-4DF8-9570-3859735071E3}" id="{AC63DA6F-31B1-4150-BCDB-E7D56AD3BD75}">
    <xltc:text>Source: original illustrative planning assumption, Finin2min, 25 October 2026; replace with actual operating or funding evidence. Not a quotation, statutory amount or guaranteed forecast.</xltc:text>
  </xltc:threadedComment>
  <xltc:threadedComment ref="M48" dT="2026-10-25T08:29:51.778" personId="{5586D656-C9B8-4DF8-9570-3859735071E3}" id="{A46BA3B7-6FD7-4FD0-AC1E-97D4501C0506}">
    <xltc:text>Source: original illustrative planning assumption, Finin2min, 25 October 2026; replace with actual operating or funding evidence. Not a quotation, statutory amount or guaranteed forecast.</xltc:text>
  </xltc:threadedComment>
  <xltc:threadedComment ref="N48" dT="2026-10-25T08:29:51.778" personId="{5586D656-C9B8-4DF8-9570-3859735071E3}" id="{A0C04BED-715B-472E-9214-3870E6621F22}">
    <xltc:text>Source: original illustrative planning assumption, Finin2min, 25 October 2026; replace with actual operating or funding evidence. Not a quotation, statutory amount or guaranteed forecast.</xltc:text>
  </xltc:threadedComment>
  <xltc:threadedComment ref="O48" dT="2026-10-25T08:29:51.778" personId="{5586D656-C9B8-4DF8-9570-3859735071E3}" id="{6D283C60-3345-4153-8772-E70381737AF5}">
    <xltc:text>Source: original illustrative planning assumption, Finin2min, 25 October 2026; replace with actual operating or funding evidence. Not a quotation, statutory amount or guaranteed forecast.</xltc:text>
  </xltc:threadedComment>
  <xltc:threadedComment ref="E60" dT="2026-10-25T08:29:51.778" personId="{5586D656-C9B8-4DF8-9570-3859735071E3}" id="{FC3F4761-802F-481B-87FB-FF686F251940}">
    <xltc:text>Source: original illustrative planning assumption, Finin2min, 25 October 2026; replace with actual operating or funding evidence. Zero tax cash is an unresolved input, not exemption.</xltc:text>
  </xltc:threadedComment>
  <xltc:threadedComment ref="F60" dT="2026-10-25T08:29:51.778" personId="{5586D656-C9B8-4DF8-9570-3859735071E3}" id="{0C9E100B-DA0A-4439-82AA-689B8BFAB986}">
    <xltc:text>Source: original illustrative planning assumption, Finin2min, 25 October 2026; replace with actual operating or funding evidence. Zero tax cash is an unresolved input, not exemption.</xltc:text>
  </xltc:threadedComment>
  <xltc:threadedComment ref="G60" dT="2026-10-25T08:29:51.778" personId="{5586D656-C9B8-4DF8-9570-3859735071E3}" id="{763F1614-F66C-4F36-8E53-411DCB3F427D}">
    <xltc:text>Source: original illustrative planning assumption, Finin2min, 25 October 2026; replace with actual operating or funding evidence. Zero tax cash is an unresolved input, not exemption.</xltc:text>
  </xltc:threadedComment>
  <xltc:threadedComment ref="H60" dT="2026-10-25T08:29:51.778" personId="{5586D656-C9B8-4DF8-9570-3859735071E3}" id="{6E387B02-5374-428A-A34F-AFA9D39EEF10}">
    <xltc:text>Source: original illustrative planning assumption, Finin2min, 25 October 2026; replace with actual operating or funding evidence. Zero tax cash is an unresolved input, not exemption.</xltc:text>
  </xltc:threadedComment>
  <xltc:threadedComment ref="I60" dT="2026-10-25T08:29:51.778" personId="{5586D656-C9B8-4DF8-9570-3859735071E3}" id="{5A8A7209-2F6D-4348-B2CE-A31C010E2972}">
    <xltc:text>Source: original illustrative planning assumption, Finin2min, 25 October 2026; replace with actual operating or funding evidence. Zero tax cash is an unresolved input, not exemption.</xltc:text>
  </xltc:threadedComment>
  <xltc:threadedComment ref="J60" dT="2026-10-25T08:29:51.778" personId="{5586D656-C9B8-4DF8-9570-3859735071E3}" id="{3BFC86F8-FD3D-4DFE-83F9-011E39CF85DC}">
    <xltc:text>Source: original illustrative planning assumption, Finin2min, 25 October 2026; replace with actual operating or funding evidence. Zero tax cash is an unresolved input, not exemption.</xltc:text>
  </xltc:threadedComment>
  <xltc:threadedComment ref="K60" dT="2026-10-25T08:29:51.778" personId="{5586D656-C9B8-4DF8-9570-3859735071E3}" id="{483A1704-80C9-440F-BA43-4B7EB4B83638}">
    <xltc:text>Source: original illustrative planning assumption, Finin2min, 25 October 2026; replace with actual operating or funding evidence. Zero tax cash is an unresolved input, not exemption.</xltc:text>
  </xltc:threadedComment>
  <xltc:threadedComment ref="L60" dT="2026-10-25T08:29:51.778" personId="{5586D656-C9B8-4DF8-9570-3859735071E3}" id="{C3F7DEED-333B-4645-9C7C-C65A88091DE4}">
    <xltc:text>Source: original illustrative planning assumption, Finin2min, 25 October 2026; replace with actual operating or funding evidence. Zero tax cash is an unresolved input, not exemption.</xltc:text>
  </xltc:threadedComment>
  <xltc:threadedComment ref="M60" dT="2026-10-25T08:29:51.778" personId="{5586D656-C9B8-4DF8-9570-3859735071E3}" id="{30687961-C69D-4731-8FB3-53517387E261}">
    <xltc:text>Source: original illustrative planning assumption, Finin2min, 25 October 2026; replace with actual operating or funding evidence. Zero tax cash is an unresolved input, not exemption.</xltc:text>
  </xltc:threadedComment>
  <xltc:threadedComment ref="N60" dT="2026-10-25T08:29:51.778" personId="{5586D656-C9B8-4DF8-9570-3859735071E3}" id="{6BE7EBC0-F9A9-46A9-9169-4354ADA2E734}">
    <xltc:text>Source: original illustrative planning assumption, Finin2min, 25 October 2026; replace with actual operating or funding evidence. Zero tax cash is an unresolved input, not exemption.</xltc:text>
  </xltc:threadedComment>
  <xltc:threadedComment ref="O60" dT="2026-10-25T08:29:51.778" personId="{5586D656-C9B8-4DF8-9570-3859735071E3}" id="{558DD0D8-44BE-4026-9C62-CBA30093218A}">
    <xltc:text>Source: original illustrative planning assumption, Finin2min, 25 October 2026; replace with actual operating or funding evidence. Zero tax cash is an unresolved input, not exemption.</xltc:text>
  </xltc:threadedComment>
  <xltc:threadedComment ref="E61" dT="2026-10-25T08:29:51.778" personId="{5586D656-C9B8-4DF8-9570-3859735071E3}" id="{8F77F85B-6EDC-4375-9FE4-22A54DAD8E9B}">
    <xltc:text>Source: original illustrative planning assumption, Finin2min, 25 October 2026; replace with actual operating or funding evidence. Not a quotation, statutory amount or guaranteed forecast.</xltc:text>
  </xltc:threadedComment>
  <xltc:threadedComment ref="F61" dT="2026-10-25T08:29:51.778" personId="{5586D656-C9B8-4DF8-9570-3859735071E3}" id="{89A496EC-D4A9-4F40-B6E8-848B0129EA86}">
    <xltc:text>Source: original illustrative planning assumption, Finin2min, 25 October 2026; replace with actual operating or funding evidence. Not a quotation, statutory amount or guaranteed forecast.</xltc:text>
  </xltc:threadedComment>
  <xltc:threadedComment ref="G61" dT="2026-10-25T08:29:51.778" personId="{5586D656-C9B8-4DF8-9570-3859735071E3}" id="{AC3ED6EB-C390-4557-A6FB-FD69B6CD3FF7}">
    <xltc:text>Source: original illustrative planning assumption, Finin2min, 25 October 2026; replace with actual operating or funding evidence. Not a quotation, statutory amount or guaranteed forecast.</xltc:text>
  </xltc:threadedComment>
  <xltc:threadedComment ref="H61" dT="2026-10-25T08:29:51.778" personId="{5586D656-C9B8-4DF8-9570-3859735071E3}" id="{DF05ADF9-CD51-4AA9-8288-028760CFB39B}">
    <xltc:text>Source: original illustrative planning assumption, Finin2min, 25 October 2026; replace with actual operating or funding evidence. Not a quotation, statutory amount or guaranteed forecast.</xltc:text>
  </xltc:threadedComment>
  <xltc:threadedComment ref="I61" dT="2026-10-25T08:29:51.778" personId="{5586D656-C9B8-4DF8-9570-3859735071E3}" id="{9E3E5046-4105-455E-A848-19F4D6F719C8}">
    <xltc:text>Source: original illustrative planning assumption, Finin2min, 25 October 2026; replace with actual operating or funding evidence. Not a quotation, statutory amount or guaranteed forecast.</xltc:text>
  </xltc:threadedComment>
  <xltc:threadedComment ref="J61" dT="2026-10-25T08:29:51.778" personId="{5586D656-C9B8-4DF8-9570-3859735071E3}" id="{F9733CC8-EE45-4F22-A0BC-BEEB16CC4909}">
    <xltc:text>Source: original illustrative planning assumption, Finin2min, 25 October 2026; replace with actual operating or funding evidence. Not a quotation, statutory amount or guaranteed forecast.</xltc:text>
  </xltc:threadedComment>
  <xltc:threadedComment ref="K61" dT="2026-10-25T08:29:51.778" personId="{5586D656-C9B8-4DF8-9570-3859735071E3}" id="{1BD1AE21-D53B-46FB-902F-8007A5B58F83}">
    <xltc:text>Source: original illustrative planning assumption, Finin2min, 25 October 2026; replace with actual operating or funding evidence. Not a quotation, statutory amount or guaranteed forecast.</xltc:text>
  </xltc:threadedComment>
  <xltc:threadedComment ref="L61" dT="2026-10-25T08:29:51.778" personId="{5586D656-C9B8-4DF8-9570-3859735071E3}" id="{884369CD-140C-4E91-A999-521FC9B898D1}">
    <xltc:text>Source: original illustrative planning assumption, Finin2min, 25 October 2026; replace with actual operating or funding evidence. Not a quotation, statutory amount or guaranteed forecast.</xltc:text>
  </xltc:threadedComment>
  <xltc:threadedComment ref="M61" dT="2026-10-25T08:29:51.778" personId="{5586D656-C9B8-4DF8-9570-3859735071E3}" id="{B6826142-907A-441A-9980-3EACDEDE9048}">
    <xltc:text>Source: original illustrative planning assumption, Finin2min, 25 October 2026; replace with actual operating or funding evidence. Not a quotation, statutory amount or guaranteed forecast.</xltc:text>
  </xltc:threadedComment>
  <xltc:threadedComment ref="N61" dT="2026-10-25T08:29:51.778" personId="{5586D656-C9B8-4DF8-9570-3859735071E3}" id="{A6291529-3502-4267-8485-A1FF062601E2}">
    <xltc:text>Source: original illustrative planning assumption, Finin2min, 25 October 2026; replace with actual operating or funding evidence. Not a quotation, statutory amount or guaranteed forecast.</xltc:text>
  </xltc:threadedComment>
  <xltc:threadedComment ref="O61" dT="2026-10-25T08:29:51.778" personId="{5586D656-C9B8-4DF8-9570-3859735071E3}" id="{28DE54DD-A262-4DF6-B9D2-2EE8361B5632}">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5.xml><?xml version="1.0" encoding="utf-8"?>
<xltc:ThreadedComments xmlns:xltc="http://schemas.microsoft.com/office/spreadsheetml/2018/threadedcomments">
  <xltc:threadedComment ref="D35" dT="2026-10-25T08:24:07.094" personId="{5586D656-C9B8-4DF8-9570-3859735071E3}" id="{9497104E-3126-4A75-9B7A-B2179405A3C9}">
    <xltc:text>Source: original illustrative planning assumptions, Finin2min, 25 October 2026. Replace with evidence. Not a quotation, statutory calculation or guaranteed forecast.</xltc:text>
  </xltc:threadedComment>
  <xltc:threadedComment ref="D48" dT="2026-10-25T08:24:07.094" personId="{5586D656-C9B8-4DF8-9570-3859735071E3}" id="{302E474E-FB70-4D2B-8AD8-694FF80A931E}">
    <xltc:text>Source: original illustrative planning assumptions, Finin2min, 25 October 2026. Replace with evidence. Not a quotation, statutory calculation or guaranteed forecast.</xltc:text>
  </xltc:threadedComment>
  <xltc:threadedComment ref="D60" dT="2026-10-25T08:24:07.094" personId="{5586D656-C9B8-4DF8-9570-3859735071E3}" id="{52637BB3-FE0D-4FA7-996C-5720A3C70D3D}">
    <xltc:text>Source: original illustrative planning assumptions, Finin2min, 25 October 2026. Replace with evidence. Tax cash begins at zero as an unresolved input, not a statement of exemption.</xltc:text>
  </xltc:threadedComment>
  <xltc:threadedComment ref="D61" dT="2026-10-25T08:24:07.094" personId="{5586D656-C9B8-4DF8-9570-3859735071E3}" id="{09BC79E4-CA8E-4CC5-9E5D-33872C07C60C}">
    <xltc:text>Source: original illustrative planning assumptions, Finin2min, 25 October 2026. Replace with evidence. Not a quotation, statutory calculation or guaranteed forecast.</xltc:text>
  </xltc:threadedComment>
  <xltc:threadedComment ref="B8" dT="2026-10-25T08:24:07.094" personId="{5586D656-C9B8-4DF8-9570-3859735071E3}" id="{DD3665A0-B0C8-44E1-83CF-F49BC4F9B32F}">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9" dT="2026-10-25T08:24:07.094" personId="{5586D656-C9B8-4DF8-9570-3859735071E3}" id="{4C8C8DE6-ECA6-44AA-A7B3-2D42FC767E99}">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0" dT="2026-10-25T08:24:07.094" personId="{5586D656-C9B8-4DF8-9570-3859735071E3}" id="{017E267A-452F-4F35-9BE1-35BD1218EAEB}">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1" dT="2026-10-25T08:24:07.094" personId="{5586D656-C9B8-4DF8-9570-3859735071E3}" id="{36D6586B-3735-4567-BF98-E3122F81F6DB}">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2" dT="2026-10-25T08:24:07.094" personId="{5586D656-C9B8-4DF8-9570-3859735071E3}" id="{EA74DDFF-710B-4142-B85E-CFEA44D22D53}">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3" dT="2026-10-25T08:24:07.094" personId="{5586D656-C9B8-4DF8-9570-3859735071E3}" id="{5B52AA67-242D-4F40-9029-ADFFF02430B8}">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4" dT="2026-10-25T08:24:07.094" personId="{5586D656-C9B8-4DF8-9570-3859735071E3}" id="{6AC43A86-C79C-48D3-8632-F885C86771FB}">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5" dT="2026-10-25T08:24:07.094" personId="{5586D656-C9B8-4DF8-9570-3859735071E3}" id="{716A7500-D75C-440A-9C41-21B763AFBD26}">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6" dT="2026-10-25T08:24:07.094" personId="{5586D656-C9B8-4DF8-9570-3859735071E3}" id="{9D3D5BC2-8E5B-4F3D-9384-9C3EDD6E85BF}">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7" dT="2026-10-25T08:24:07.094" personId="{5586D656-C9B8-4DF8-9570-3859735071E3}" id="{8F001CDD-4D71-4DBF-8AEA-D89D6A41B67D}">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8" dT="2026-10-25T08:24:07.094" personId="{5586D656-C9B8-4DF8-9570-3859735071E3}" id="{F95EC34C-A36E-48BD-BCEE-DAB04016BCF7}">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19" dT="2026-10-25T08:24:07.094" personId="{5586D656-C9B8-4DF8-9570-3859735071E3}" id="{8706A577-1473-4D83-865B-C2A381C74E85}">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0" dT="2026-10-25T08:24:07.094" personId="{5586D656-C9B8-4DF8-9570-3859735071E3}" id="{641EB84F-1646-4AD1-9039-65A1862E0DD6}">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1" dT="2026-10-25T08:24:07.094" personId="{5586D656-C9B8-4DF8-9570-3859735071E3}" id="{3F877BF3-5C33-45B2-861B-78AA6D77F54A}">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2" dT="2026-10-25T08:24:07.094" personId="{5586D656-C9B8-4DF8-9570-3859735071E3}" id="{D9D4533C-8F7A-4134-813E-0367A933379A}">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3" dT="2026-10-25T08:24:07.094" personId="{5586D656-C9B8-4DF8-9570-3859735071E3}" id="{60F4FB9D-3B71-48BB-B215-B15D9E1EE661}">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4" dT="2026-10-25T08:24:07.094" personId="{5586D656-C9B8-4DF8-9570-3859735071E3}" id="{640ED1D2-DD72-4B11-B949-2829B20ADA0A}">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5" dT="2026-10-25T08:24:07.094" personId="{5586D656-C9B8-4DF8-9570-3859735071E3}" id="{87FA7210-9BDA-47AB-B632-E2C12DFE94F2}">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6" dT="2026-10-25T08:24:07.094" personId="{5586D656-C9B8-4DF8-9570-3859735071E3}" id="{0E683055-21B2-44D3-8DF6-72415A615386}">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7" dT="2026-10-25T08:24:07.094" personId="{5586D656-C9B8-4DF8-9570-3859735071E3}" id="{32D99EF4-F066-4E77-95E1-5E14459B1FE5}">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B28" dT="2026-10-25T08:24:07.094" personId="{5586D656-C9B8-4DF8-9570-3859735071E3}" id="{28D0E937-5C14-4D76-AF45-F81685474877}">
    <xltc:text>Source: original illustrative Retail Pharmacy &amp; Jan Aushadhi scenario prepared by Finin2min Editorial Desk on 25 October 2026. Not researched market prices or statutory fees. Replace with signed quotes, contracts, capacity evidence and actual operating data. Sector context: https://www.pmbi.co.in/index.aspx</xltc:text>
  </xltc:threadedComment>
  <xltc:threadedComment ref="E35" dT="2026-10-25T08:29:51.778" personId="{5586D656-C9B8-4DF8-9570-3859735071E3}" id="{BDD4AEEA-D9C4-4EEB-B871-DBACAF4F76C3}">
    <xltc:text>Source: original illustrative planning assumption, Finin2min, 25 October 2026; replace with actual operating or funding evidence. Not a quotation, statutory amount or guaranteed forecast.</xltc:text>
  </xltc:threadedComment>
  <xltc:threadedComment ref="F35" dT="2026-10-25T08:29:51.778" personId="{5586D656-C9B8-4DF8-9570-3859735071E3}" id="{2F50964D-5068-4EB9-8F75-71C1A918296E}">
    <xltc:text>Source: original illustrative planning assumption, Finin2min, 25 October 2026; replace with actual operating or funding evidence. Not a quotation, statutory amount or guaranteed forecast.</xltc:text>
  </xltc:threadedComment>
  <xltc:threadedComment ref="G35" dT="2026-10-25T08:29:51.778" personId="{5586D656-C9B8-4DF8-9570-3859735071E3}" id="{885A50C8-6867-4613-9C11-8BCB866FA5DE}">
    <xltc:text>Source: original illustrative planning assumption, Finin2min, 25 October 2026; replace with actual operating or funding evidence. Not a quotation, statutory amount or guaranteed forecast.</xltc:text>
  </xltc:threadedComment>
  <xltc:threadedComment ref="H35" dT="2026-10-25T08:29:51.778" personId="{5586D656-C9B8-4DF8-9570-3859735071E3}" id="{8B4C1EE5-865A-49B8-ADF4-0A7EB4697824}">
    <xltc:text>Source: original illustrative planning assumption, Finin2min, 25 October 2026; replace with actual operating or funding evidence. Not a quotation, statutory amount or guaranteed forecast.</xltc:text>
  </xltc:threadedComment>
  <xltc:threadedComment ref="I35" dT="2026-10-25T08:29:51.778" personId="{5586D656-C9B8-4DF8-9570-3859735071E3}" id="{34A494DD-BB48-45C0-B351-F0883DD8C202}">
    <xltc:text>Source: original illustrative planning assumption, Finin2min, 25 October 2026; replace with actual operating or funding evidence. Not a quotation, statutory amount or guaranteed forecast.</xltc:text>
  </xltc:threadedComment>
  <xltc:threadedComment ref="J35" dT="2026-10-25T08:29:51.778" personId="{5586D656-C9B8-4DF8-9570-3859735071E3}" id="{48D376AF-1EE9-465A-B07B-3AFD843B2B0B}">
    <xltc:text>Source: original illustrative planning assumption, Finin2min, 25 October 2026; replace with actual operating or funding evidence. Not a quotation, statutory amount or guaranteed forecast.</xltc:text>
  </xltc:threadedComment>
  <xltc:threadedComment ref="K35" dT="2026-10-25T08:29:51.778" personId="{5586D656-C9B8-4DF8-9570-3859735071E3}" id="{7A82D562-1CB3-4830-8D2C-13AA7AABAD97}">
    <xltc:text>Source: original illustrative planning assumption, Finin2min, 25 October 2026; replace with actual operating or funding evidence. Not a quotation, statutory amount or guaranteed forecast.</xltc:text>
  </xltc:threadedComment>
  <xltc:threadedComment ref="L35" dT="2026-10-25T08:29:51.778" personId="{5586D656-C9B8-4DF8-9570-3859735071E3}" id="{A88E1736-BD7B-4F48-BD55-5AE0758DD30E}">
    <xltc:text>Source: original illustrative planning assumption, Finin2min, 25 October 2026; replace with actual operating or funding evidence. Not a quotation, statutory amount or guaranteed forecast.</xltc:text>
  </xltc:threadedComment>
  <xltc:threadedComment ref="M35" dT="2026-10-25T08:29:51.778" personId="{5586D656-C9B8-4DF8-9570-3859735071E3}" id="{0C725C39-FB44-492B-BCF5-C2430C45A85F}">
    <xltc:text>Source: original illustrative planning assumption, Finin2min, 25 October 2026; replace with actual operating or funding evidence. Not a quotation, statutory amount or guaranteed forecast.</xltc:text>
  </xltc:threadedComment>
  <xltc:threadedComment ref="N35" dT="2026-10-25T08:29:51.778" personId="{5586D656-C9B8-4DF8-9570-3859735071E3}" id="{5C768982-B2EC-4499-BFF1-04290553A082}">
    <xltc:text>Source: original illustrative planning assumption, Finin2min, 25 October 2026; replace with actual operating or funding evidence. Not a quotation, statutory amount or guaranteed forecast.</xltc:text>
  </xltc:threadedComment>
  <xltc:threadedComment ref="O35" dT="2026-10-25T08:29:51.778" personId="{5586D656-C9B8-4DF8-9570-3859735071E3}" id="{DDE02B21-F558-47A2-98C9-3107F08343F7}">
    <xltc:text>Source: original illustrative planning assumption, Finin2min, 25 October 2026; replace with actual operating or funding evidence. Not a quotation, statutory amount or guaranteed forecast.</xltc:text>
  </xltc:threadedComment>
  <xltc:threadedComment ref="E48" dT="2026-10-25T08:29:51.778" personId="{5586D656-C9B8-4DF8-9570-3859735071E3}" id="{F1986B11-2F55-4A1A-9B4D-A899274F47B4}">
    <xltc:text>Source: original illustrative planning assumption, Finin2min, 25 October 2026; replace with actual operating or funding evidence. Not a quotation, statutory amount or guaranteed forecast.</xltc:text>
  </xltc:threadedComment>
  <xltc:threadedComment ref="F48" dT="2026-10-25T08:29:51.778" personId="{5586D656-C9B8-4DF8-9570-3859735071E3}" id="{F0C4070B-96DB-4427-A760-EEC7932AB11B}">
    <xltc:text>Source: original illustrative planning assumption, Finin2min, 25 October 2026; replace with actual operating or funding evidence. Not a quotation, statutory amount or guaranteed forecast.</xltc:text>
  </xltc:threadedComment>
  <xltc:threadedComment ref="G48" dT="2026-10-25T08:29:51.778" personId="{5586D656-C9B8-4DF8-9570-3859735071E3}" id="{A8B88021-BA1B-40C0-B53D-254838782BA8}">
    <xltc:text>Source: original illustrative planning assumption, Finin2min, 25 October 2026; replace with actual operating or funding evidence. Not a quotation, statutory amount or guaranteed forecast.</xltc:text>
  </xltc:threadedComment>
  <xltc:threadedComment ref="H48" dT="2026-10-25T08:29:51.778" personId="{5586D656-C9B8-4DF8-9570-3859735071E3}" id="{2FC068FF-91F0-47E7-9AC0-8D475C77BF75}">
    <xltc:text>Source: original illustrative planning assumption, Finin2min, 25 October 2026; replace with actual operating or funding evidence. Not a quotation, statutory amount or guaranteed forecast.</xltc:text>
  </xltc:threadedComment>
  <xltc:threadedComment ref="I48" dT="2026-10-25T08:29:51.778" personId="{5586D656-C9B8-4DF8-9570-3859735071E3}" id="{07B49DBB-3202-401F-9AA1-D35F65BB26B7}">
    <xltc:text>Source: original illustrative planning assumption, Finin2min, 25 October 2026; replace with actual operating or funding evidence. Not a quotation, statutory amount or guaranteed forecast.</xltc:text>
  </xltc:threadedComment>
  <xltc:threadedComment ref="J48" dT="2026-10-25T08:29:51.778" personId="{5586D656-C9B8-4DF8-9570-3859735071E3}" id="{082A5B3D-93F1-4C72-AE70-307A64393D18}">
    <xltc:text>Source: original illustrative planning assumption, Finin2min, 25 October 2026; replace with actual operating or funding evidence. Not a quotation, statutory amount or guaranteed forecast.</xltc:text>
  </xltc:threadedComment>
  <xltc:threadedComment ref="K48" dT="2026-10-25T08:29:51.778" personId="{5586D656-C9B8-4DF8-9570-3859735071E3}" id="{F2B82B6E-2DBB-43C0-A72F-5110F2ABF8F2}">
    <xltc:text>Source: original illustrative planning assumption, Finin2min, 25 October 2026; replace with actual operating or funding evidence. Not a quotation, statutory amount or guaranteed forecast.</xltc:text>
  </xltc:threadedComment>
  <xltc:threadedComment ref="L48" dT="2026-10-25T08:29:51.778" personId="{5586D656-C9B8-4DF8-9570-3859735071E3}" id="{C20D842A-04C9-4C73-8450-3AF00FA41832}">
    <xltc:text>Source: original illustrative planning assumption, Finin2min, 25 October 2026; replace with actual operating or funding evidence. Not a quotation, statutory amount or guaranteed forecast.</xltc:text>
  </xltc:threadedComment>
  <xltc:threadedComment ref="M48" dT="2026-10-25T08:29:51.778" personId="{5586D656-C9B8-4DF8-9570-3859735071E3}" id="{D57577AC-9742-43AA-A91B-257BB21B5FF5}">
    <xltc:text>Source: original illustrative planning assumption, Finin2min, 25 October 2026; replace with actual operating or funding evidence. Not a quotation, statutory amount or guaranteed forecast.</xltc:text>
  </xltc:threadedComment>
  <xltc:threadedComment ref="N48" dT="2026-10-25T08:29:51.778" personId="{5586D656-C9B8-4DF8-9570-3859735071E3}" id="{79E9A89E-8BAA-44F8-B01B-CADFA22EFECE}">
    <xltc:text>Source: original illustrative planning assumption, Finin2min, 25 October 2026; replace with actual operating or funding evidence. Not a quotation, statutory amount or guaranteed forecast.</xltc:text>
  </xltc:threadedComment>
  <xltc:threadedComment ref="O48" dT="2026-10-25T08:29:51.778" personId="{5586D656-C9B8-4DF8-9570-3859735071E3}" id="{2D054441-5A99-46ED-9C49-A6691E54E11B}">
    <xltc:text>Source: original illustrative planning assumption, Finin2min, 25 October 2026; replace with actual operating or funding evidence. Not a quotation, statutory amount or guaranteed forecast.</xltc:text>
  </xltc:threadedComment>
  <xltc:threadedComment ref="E60" dT="2026-10-25T08:29:51.778" personId="{5586D656-C9B8-4DF8-9570-3859735071E3}" id="{36D9BD79-B4F8-4028-B896-94119294E09F}">
    <xltc:text>Source: original illustrative planning assumption, Finin2min, 25 October 2026; replace with actual operating or funding evidence. Zero tax cash is an unresolved input, not exemption.</xltc:text>
  </xltc:threadedComment>
  <xltc:threadedComment ref="F60" dT="2026-10-25T08:29:51.778" personId="{5586D656-C9B8-4DF8-9570-3859735071E3}" id="{36C37D72-C0F5-4AFD-9FDC-D571B2F140D5}">
    <xltc:text>Source: original illustrative planning assumption, Finin2min, 25 October 2026; replace with actual operating or funding evidence. Zero tax cash is an unresolved input, not exemption.</xltc:text>
  </xltc:threadedComment>
  <xltc:threadedComment ref="G60" dT="2026-10-25T08:29:51.778" personId="{5586D656-C9B8-4DF8-9570-3859735071E3}" id="{28E78084-D448-47C2-851E-DE5E19D68A8F}">
    <xltc:text>Source: original illustrative planning assumption, Finin2min, 25 October 2026; replace with actual operating or funding evidence. Zero tax cash is an unresolved input, not exemption.</xltc:text>
  </xltc:threadedComment>
  <xltc:threadedComment ref="H60" dT="2026-10-25T08:29:51.778" personId="{5586D656-C9B8-4DF8-9570-3859735071E3}" id="{38250FDB-5668-46CF-87BA-D5D4E13A7EBE}">
    <xltc:text>Source: original illustrative planning assumption, Finin2min, 25 October 2026; replace with actual operating or funding evidence. Zero tax cash is an unresolved input, not exemption.</xltc:text>
  </xltc:threadedComment>
  <xltc:threadedComment ref="I60" dT="2026-10-25T08:29:51.778" personId="{5586D656-C9B8-4DF8-9570-3859735071E3}" id="{8CDE7A8C-62D5-49ED-9A6D-2B6E5AB1805A}">
    <xltc:text>Source: original illustrative planning assumption, Finin2min, 25 October 2026; replace with actual operating or funding evidence. Zero tax cash is an unresolved input, not exemption.</xltc:text>
  </xltc:threadedComment>
  <xltc:threadedComment ref="J60" dT="2026-10-25T08:29:51.778" personId="{5586D656-C9B8-4DF8-9570-3859735071E3}" id="{05FB814A-914A-4063-94DD-66BC3F1E4066}">
    <xltc:text>Source: original illustrative planning assumption, Finin2min, 25 October 2026; replace with actual operating or funding evidence. Zero tax cash is an unresolved input, not exemption.</xltc:text>
  </xltc:threadedComment>
  <xltc:threadedComment ref="K60" dT="2026-10-25T08:29:51.778" personId="{5586D656-C9B8-4DF8-9570-3859735071E3}" id="{F60484B5-F5B9-4729-BE81-330304B855A1}">
    <xltc:text>Source: original illustrative planning assumption, Finin2min, 25 October 2026; replace with actual operating or funding evidence. Zero tax cash is an unresolved input, not exemption.</xltc:text>
  </xltc:threadedComment>
  <xltc:threadedComment ref="L60" dT="2026-10-25T08:29:51.778" personId="{5586D656-C9B8-4DF8-9570-3859735071E3}" id="{E87A3033-FF5B-459A-9360-21DAF3DD0FAB}">
    <xltc:text>Source: original illustrative planning assumption, Finin2min, 25 October 2026; replace with actual operating or funding evidence. Zero tax cash is an unresolved input, not exemption.</xltc:text>
  </xltc:threadedComment>
  <xltc:threadedComment ref="M60" dT="2026-10-25T08:29:51.778" personId="{5586D656-C9B8-4DF8-9570-3859735071E3}" id="{4316C151-3A6D-4D7E-9E36-01D66C4C8DDD}">
    <xltc:text>Source: original illustrative planning assumption, Finin2min, 25 October 2026; replace with actual operating or funding evidence. Zero tax cash is an unresolved input, not exemption.</xltc:text>
  </xltc:threadedComment>
  <xltc:threadedComment ref="N60" dT="2026-10-25T08:29:51.778" personId="{5586D656-C9B8-4DF8-9570-3859735071E3}" id="{A010968E-59CA-44DB-9B44-241250EBD169}">
    <xltc:text>Source: original illustrative planning assumption, Finin2min, 25 October 2026; replace with actual operating or funding evidence. Zero tax cash is an unresolved input, not exemption.</xltc:text>
  </xltc:threadedComment>
  <xltc:threadedComment ref="O60" dT="2026-10-25T08:29:51.778" personId="{5586D656-C9B8-4DF8-9570-3859735071E3}" id="{AA8B0632-930B-4977-A856-6DACDCFF987A}">
    <xltc:text>Source: original illustrative planning assumption, Finin2min, 25 October 2026; replace with actual operating or funding evidence. Zero tax cash is an unresolved input, not exemption.</xltc:text>
  </xltc:threadedComment>
  <xltc:threadedComment ref="E61" dT="2026-10-25T08:29:51.778" personId="{5586D656-C9B8-4DF8-9570-3859735071E3}" id="{F8AC8632-E738-414E-AE42-FF37E6CE460D}">
    <xltc:text>Source: original illustrative planning assumption, Finin2min, 25 October 2026; replace with actual operating or funding evidence. Not a quotation, statutory amount or guaranteed forecast.</xltc:text>
  </xltc:threadedComment>
  <xltc:threadedComment ref="F61" dT="2026-10-25T08:29:51.778" personId="{5586D656-C9B8-4DF8-9570-3859735071E3}" id="{DC05E424-80E1-4173-B0DA-94440E0FDE34}">
    <xltc:text>Source: original illustrative planning assumption, Finin2min, 25 October 2026; replace with actual operating or funding evidence. Not a quotation, statutory amount or guaranteed forecast.</xltc:text>
  </xltc:threadedComment>
  <xltc:threadedComment ref="G61" dT="2026-10-25T08:29:51.778" personId="{5586D656-C9B8-4DF8-9570-3859735071E3}" id="{A7F7466E-C67B-4ED0-A2F7-C4C5E5B0C640}">
    <xltc:text>Source: original illustrative planning assumption, Finin2min, 25 October 2026; replace with actual operating or funding evidence. Not a quotation, statutory amount or guaranteed forecast.</xltc:text>
  </xltc:threadedComment>
  <xltc:threadedComment ref="H61" dT="2026-10-25T08:29:51.778" personId="{5586D656-C9B8-4DF8-9570-3859735071E3}" id="{13FAAC4E-D760-497C-93AB-532174A17592}">
    <xltc:text>Source: original illustrative planning assumption, Finin2min, 25 October 2026; replace with actual operating or funding evidence. Not a quotation, statutory amount or guaranteed forecast.</xltc:text>
  </xltc:threadedComment>
  <xltc:threadedComment ref="I61" dT="2026-10-25T08:29:51.778" personId="{5586D656-C9B8-4DF8-9570-3859735071E3}" id="{579CAF4D-90DA-449E-987E-5B4581DC1889}">
    <xltc:text>Source: original illustrative planning assumption, Finin2min, 25 October 2026; replace with actual operating or funding evidence. Not a quotation, statutory amount or guaranteed forecast.</xltc:text>
  </xltc:threadedComment>
  <xltc:threadedComment ref="J61" dT="2026-10-25T08:29:51.778" personId="{5586D656-C9B8-4DF8-9570-3859735071E3}" id="{40A9EB6C-481C-45EB-8C8A-24498E613FA2}">
    <xltc:text>Source: original illustrative planning assumption, Finin2min, 25 October 2026; replace with actual operating or funding evidence. Not a quotation, statutory amount or guaranteed forecast.</xltc:text>
  </xltc:threadedComment>
  <xltc:threadedComment ref="K61" dT="2026-10-25T08:29:51.778" personId="{5586D656-C9B8-4DF8-9570-3859735071E3}" id="{BF45FD54-AB6E-445E-82F8-89B5EF7B6D0A}">
    <xltc:text>Source: original illustrative planning assumption, Finin2min, 25 October 2026; replace with actual operating or funding evidence. Not a quotation, statutory amount or guaranteed forecast.</xltc:text>
  </xltc:threadedComment>
  <xltc:threadedComment ref="L61" dT="2026-10-25T08:29:51.778" personId="{5586D656-C9B8-4DF8-9570-3859735071E3}" id="{CFA5ACAF-D08C-44A6-94BF-28873D90F7C4}">
    <xltc:text>Source: original illustrative planning assumption, Finin2min, 25 October 2026; replace with actual operating or funding evidence. Not a quotation, statutory amount or guaranteed forecast.</xltc:text>
  </xltc:threadedComment>
  <xltc:threadedComment ref="M61" dT="2026-10-25T08:29:51.778" personId="{5586D656-C9B8-4DF8-9570-3859735071E3}" id="{74AAF12B-D46F-45BF-B9EA-B822490049CD}">
    <xltc:text>Source: original illustrative planning assumption, Finin2min, 25 October 2026; replace with actual operating or funding evidence. Not a quotation, statutory amount or guaranteed forecast.</xltc:text>
  </xltc:threadedComment>
  <xltc:threadedComment ref="N61" dT="2026-10-25T08:29:51.778" personId="{5586D656-C9B8-4DF8-9570-3859735071E3}" id="{698644B5-6B39-4FCD-A9EF-BB447AE72D41}">
    <xltc:text>Source: original illustrative planning assumption, Finin2min, 25 October 2026; replace with actual operating or funding evidence. Not a quotation, statutory amount or guaranteed forecast.</xltc:text>
  </xltc:threadedComment>
  <xltc:threadedComment ref="O61" dT="2026-10-25T08:29:51.778" personId="{5586D656-C9B8-4DF8-9570-3859735071E3}" id="{67B6C14D-F107-4142-9C33-1E1EB746AFA2}">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6.xml><?xml version="1.0" encoding="utf-8"?>
<xltc:ThreadedComments xmlns:xltc="http://schemas.microsoft.com/office/spreadsheetml/2018/threadedcomments">
  <xltc:threadedComment ref="D35" dT="2026-10-25T08:24:07.094" personId="{5586D656-C9B8-4DF8-9570-3859735071E3}" id="{A51B9769-7FC2-45A7-8BD5-99FA362277BA}">
    <xltc:text>Source: original illustrative planning assumptions, Finin2min, 25 October 2026. Replace with evidence. Not a quotation, statutory calculation or guaranteed forecast.</xltc:text>
  </xltc:threadedComment>
  <xltc:threadedComment ref="D48" dT="2026-10-25T08:24:07.094" personId="{5586D656-C9B8-4DF8-9570-3859735071E3}" id="{3D6AFAB3-6ADD-41C8-B8C5-B7F5AF42FD28}">
    <xltc:text>Source: original illustrative planning assumptions, Finin2min, 25 October 2026. Replace with evidence. Not a quotation, statutory calculation or guaranteed forecast.</xltc:text>
  </xltc:threadedComment>
  <xltc:threadedComment ref="D60" dT="2026-10-25T08:24:07.094" personId="{5586D656-C9B8-4DF8-9570-3859735071E3}" id="{DC8F5681-DDBB-4E51-8AE7-193B257F0D4B}">
    <xltc:text>Source: original illustrative planning assumptions, Finin2min, 25 October 2026. Replace with evidence. Tax cash begins at zero as an unresolved input, not a statement of exemption.</xltc:text>
  </xltc:threadedComment>
  <xltc:threadedComment ref="D61" dT="2026-10-25T08:24:07.094" personId="{5586D656-C9B8-4DF8-9570-3859735071E3}" id="{B92E9A52-71AF-4397-808B-A84E289B2BA4}">
    <xltc:text>Source: original illustrative planning assumptions, Finin2min, 25 October 2026. Replace with evidence. Not a quotation, statutory calculation or guaranteed forecast.</xltc:text>
  </xltc:threadedComment>
  <xltc:threadedComment ref="B8" dT="2026-10-25T08:24:07.094" personId="{5586D656-C9B8-4DF8-9570-3859735071E3}" id="{CB19C6E5-12D4-4843-B570-EA8A2E8F478A}">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9" dT="2026-10-25T08:24:07.094" personId="{5586D656-C9B8-4DF8-9570-3859735071E3}" id="{BAC97241-DBCA-4B56-9111-C34ABE40D234}">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0" dT="2026-10-25T08:24:07.094" personId="{5586D656-C9B8-4DF8-9570-3859735071E3}" id="{31A032B2-F518-4926-9193-AFB06430894E}">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1" dT="2026-10-25T08:24:07.094" personId="{5586D656-C9B8-4DF8-9570-3859735071E3}" id="{74330857-5240-4AB8-B08D-C3AF197EEBCB}">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2" dT="2026-10-25T08:24:07.094" personId="{5586D656-C9B8-4DF8-9570-3859735071E3}" id="{E653BE5B-FBB8-4096-96D6-ED6A7ADEC537}">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3" dT="2026-10-25T08:24:07.094" personId="{5586D656-C9B8-4DF8-9570-3859735071E3}" id="{4BDD66CA-4ED0-4E98-B27D-3846A1CA235A}">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4" dT="2026-10-25T08:24:07.094" personId="{5586D656-C9B8-4DF8-9570-3859735071E3}" id="{73153895-97AE-4416-9D34-AD98CA6A49D0}">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5" dT="2026-10-25T08:24:07.094" personId="{5586D656-C9B8-4DF8-9570-3859735071E3}" id="{3BBB0372-DDBD-46E2-8B3B-B4A7084541BB}">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6" dT="2026-10-25T08:24:07.094" personId="{5586D656-C9B8-4DF8-9570-3859735071E3}" id="{F1CBB2B9-8068-4E94-BF2C-D04C940AB630}">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7" dT="2026-10-25T08:24:07.094" personId="{5586D656-C9B8-4DF8-9570-3859735071E3}" id="{14B4A0A8-E3CF-4CD7-847F-79B3CEC91344}">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8" dT="2026-10-25T08:24:07.094" personId="{5586D656-C9B8-4DF8-9570-3859735071E3}" id="{ECF26E3D-1C6E-4993-BF66-663BD10A96A7}">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19" dT="2026-10-25T08:24:07.094" personId="{5586D656-C9B8-4DF8-9570-3859735071E3}" id="{6FF3C272-68EF-4702-A020-8077A5E8DBA4}">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0" dT="2026-10-25T08:24:07.094" personId="{5586D656-C9B8-4DF8-9570-3859735071E3}" id="{6FFBCFC2-F0FC-4C92-A8BF-0CDCE863D73A}">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1" dT="2026-10-25T08:24:07.094" personId="{5586D656-C9B8-4DF8-9570-3859735071E3}" id="{60A4F567-51AB-437F-A2BF-441F84B59284}">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2" dT="2026-10-25T08:24:07.094" personId="{5586D656-C9B8-4DF8-9570-3859735071E3}" id="{30213C93-AD49-4D68-8C1E-7C02CAE6AA57}">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3" dT="2026-10-25T08:24:07.094" personId="{5586D656-C9B8-4DF8-9570-3859735071E3}" id="{6E2501C2-0C69-4260-9AFE-0515EDCDCB95}">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4" dT="2026-10-25T08:24:07.094" personId="{5586D656-C9B8-4DF8-9570-3859735071E3}" id="{6FFB5487-EB5B-4B6B-B6BB-C8BD75805057}">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5" dT="2026-10-25T08:24:07.094" personId="{5586D656-C9B8-4DF8-9570-3859735071E3}" id="{0DE3641B-7738-49C5-9778-FD16517A8ECF}">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6" dT="2026-10-25T08:24:07.094" personId="{5586D656-C9B8-4DF8-9570-3859735071E3}" id="{5CC7B4EA-8A55-4BAD-8191-8AE761DDCC09}">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7" dT="2026-10-25T08:24:07.094" personId="{5586D656-C9B8-4DF8-9570-3859735071E3}" id="{3D788DC7-0E51-42B7-B84E-DD4994124176}">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B28" dT="2026-10-25T08:24:07.094" personId="{5586D656-C9B8-4DF8-9570-3859735071E3}" id="{7AFFC01A-AF36-46F4-BF93-98FA4BE963A4}">
    <xltc:text>Source: original illustrative Electronics Repair &amp; Refurbishment scenario prepared by Finin2min Editorial Desk on 25 October 2026. Not researched market prices or statutory fees. Replace with signed quotes, contracts, capacity evidence and actual operating data. Sector context: https://mpcb.gov.in/sites/default/files/Establishment%20of%20MPCB/Seniority%20list/2014/E-Waste_Management_Rules-2022.pdf</xltc:text>
  </xltc:threadedComment>
  <xltc:threadedComment ref="E35" dT="2026-10-25T08:29:51.778" personId="{5586D656-C9B8-4DF8-9570-3859735071E3}" id="{CEAD3B24-2B8F-4D3E-AA2D-2A5992C46328}">
    <xltc:text>Source: original illustrative planning assumption, Finin2min, 25 October 2026; replace with actual operating or funding evidence. Not a quotation, statutory amount or guaranteed forecast.</xltc:text>
  </xltc:threadedComment>
  <xltc:threadedComment ref="F35" dT="2026-10-25T08:29:51.778" personId="{5586D656-C9B8-4DF8-9570-3859735071E3}" id="{610DCCB7-21EA-44C3-A720-D3A1BCE667B5}">
    <xltc:text>Source: original illustrative planning assumption, Finin2min, 25 October 2026; replace with actual operating or funding evidence. Not a quotation, statutory amount or guaranteed forecast.</xltc:text>
  </xltc:threadedComment>
  <xltc:threadedComment ref="G35" dT="2026-10-25T08:29:51.778" personId="{5586D656-C9B8-4DF8-9570-3859735071E3}" id="{855DF7B1-E368-4146-BA14-2E784EA0E79E}">
    <xltc:text>Source: original illustrative planning assumption, Finin2min, 25 October 2026; replace with actual operating or funding evidence. Not a quotation, statutory amount or guaranteed forecast.</xltc:text>
  </xltc:threadedComment>
  <xltc:threadedComment ref="H35" dT="2026-10-25T08:29:51.778" personId="{5586D656-C9B8-4DF8-9570-3859735071E3}" id="{FFB9596E-B304-40EA-BDCD-7B9A34ED1807}">
    <xltc:text>Source: original illustrative planning assumption, Finin2min, 25 October 2026; replace with actual operating or funding evidence. Not a quotation, statutory amount or guaranteed forecast.</xltc:text>
  </xltc:threadedComment>
  <xltc:threadedComment ref="I35" dT="2026-10-25T08:29:51.778" personId="{5586D656-C9B8-4DF8-9570-3859735071E3}" id="{F0236D01-C5E2-4BE2-918B-05408F1B6713}">
    <xltc:text>Source: original illustrative planning assumption, Finin2min, 25 October 2026; replace with actual operating or funding evidence. Not a quotation, statutory amount or guaranteed forecast.</xltc:text>
  </xltc:threadedComment>
  <xltc:threadedComment ref="J35" dT="2026-10-25T08:29:51.778" personId="{5586D656-C9B8-4DF8-9570-3859735071E3}" id="{65082073-0D6A-4996-B3B4-805DD85947DE}">
    <xltc:text>Source: original illustrative planning assumption, Finin2min, 25 October 2026; replace with actual operating or funding evidence. Not a quotation, statutory amount or guaranteed forecast.</xltc:text>
  </xltc:threadedComment>
  <xltc:threadedComment ref="K35" dT="2026-10-25T08:29:51.778" personId="{5586D656-C9B8-4DF8-9570-3859735071E3}" id="{7651F35C-7D4D-4F53-BF08-CE5066FA039B}">
    <xltc:text>Source: original illustrative planning assumption, Finin2min, 25 October 2026; replace with actual operating or funding evidence. Not a quotation, statutory amount or guaranteed forecast.</xltc:text>
  </xltc:threadedComment>
  <xltc:threadedComment ref="L35" dT="2026-10-25T08:29:51.778" personId="{5586D656-C9B8-4DF8-9570-3859735071E3}" id="{CBE075C2-3EC1-4149-8467-F183DB8C6726}">
    <xltc:text>Source: original illustrative planning assumption, Finin2min, 25 October 2026; replace with actual operating or funding evidence. Not a quotation, statutory amount or guaranteed forecast.</xltc:text>
  </xltc:threadedComment>
  <xltc:threadedComment ref="M35" dT="2026-10-25T08:29:51.778" personId="{5586D656-C9B8-4DF8-9570-3859735071E3}" id="{772F3340-58CD-4E77-BA97-EB6D43004DEE}">
    <xltc:text>Source: original illustrative planning assumption, Finin2min, 25 October 2026; replace with actual operating or funding evidence. Not a quotation, statutory amount or guaranteed forecast.</xltc:text>
  </xltc:threadedComment>
  <xltc:threadedComment ref="N35" dT="2026-10-25T08:29:51.778" personId="{5586D656-C9B8-4DF8-9570-3859735071E3}" id="{679F220C-CA0B-4AD8-8D2C-C691981E0D51}">
    <xltc:text>Source: original illustrative planning assumption, Finin2min, 25 October 2026; replace with actual operating or funding evidence. Not a quotation, statutory amount or guaranteed forecast.</xltc:text>
  </xltc:threadedComment>
  <xltc:threadedComment ref="O35" dT="2026-10-25T08:29:51.778" personId="{5586D656-C9B8-4DF8-9570-3859735071E3}" id="{441B892D-B3DF-4518-AC31-021336DCAA00}">
    <xltc:text>Source: original illustrative planning assumption, Finin2min, 25 October 2026; replace with actual operating or funding evidence. Not a quotation, statutory amount or guaranteed forecast.</xltc:text>
  </xltc:threadedComment>
  <xltc:threadedComment ref="E48" dT="2026-10-25T08:29:51.778" personId="{5586D656-C9B8-4DF8-9570-3859735071E3}" id="{39A9EE61-9B0A-496D-8298-CF003FA5A9FD}">
    <xltc:text>Source: original illustrative planning assumption, Finin2min, 25 October 2026; replace with actual operating or funding evidence. Not a quotation, statutory amount or guaranteed forecast.</xltc:text>
  </xltc:threadedComment>
  <xltc:threadedComment ref="F48" dT="2026-10-25T08:29:51.778" personId="{5586D656-C9B8-4DF8-9570-3859735071E3}" id="{F1248918-8EA4-4E29-84BA-F52521350E67}">
    <xltc:text>Source: original illustrative planning assumption, Finin2min, 25 October 2026; replace with actual operating or funding evidence. Not a quotation, statutory amount or guaranteed forecast.</xltc:text>
  </xltc:threadedComment>
  <xltc:threadedComment ref="G48" dT="2026-10-25T08:29:51.778" personId="{5586D656-C9B8-4DF8-9570-3859735071E3}" id="{55AEC896-155D-48EE-BFC2-B20ECBFED64A}">
    <xltc:text>Source: original illustrative planning assumption, Finin2min, 25 October 2026; replace with actual operating or funding evidence. Not a quotation, statutory amount or guaranteed forecast.</xltc:text>
  </xltc:threadedComment>
  <xltc:threadedComment ref="H48" dT="2026-10-25T08:29:51.778" personId="{5586D656-C9B8-4DF8-9570-3859735071E3}" id="{51746550-CE42-4285-91E8-639703BFD7BD}">
    <xltc:text>Source: original illustrative planning assumption, Finin2min, 25 October 2026; replace with actual operating or funding evidence. Not a quotation, statutory amount or guaranteed forecast.</xltc:text>
  </xltc:threadedComment>
  <xltc:threadedComment ref="I48" dT="2026-10-25T08:29:51.778" personId="{5586D656-C9B8-4DF8-9570-3859735071E3}" id="{6F42F1D1-0A28-4FB6-83E8-61D88CD71F93}">
    <xltc:text>Source: original illustrative planning assumption, Finin2min, 25 October 2026; replace with actual operating or funding evidence. Not a quotation, statutory amount or guaranteed forecast.</xltc:text>
  </xltc:threadedComment>
  <xltc:threadedComment ref="J48" dT="2026-10-25T08:29:51.778" personId="{5586D656-C9B8-4DF8-9570-3859735071E3}" id="{6D887958-EEEA-45DF-9079-DEA6A4AB0FB0}">
    <xltc:text>Source: original illustrative planning assumption, Finin2min, 25 October 2026; replace with actual operating or funding evidence. Not a quotation, statutory amount or guaranteed forecast.</xltc:text>
  </xltc:threadedComment>
  <xltc:threadedComment ref="K48" dT="2026-10-25T08:29:51.778" personId="{5586D656-C9B8-4DF8-9570-3859735071E3}" id="{6230C372-DE6F-4F52-95F4-27B05DB8F0A9}">
    <xltc:text>Source: original illustrative planning assumption, Finin2min, 25 October 2026; replace with actual operating or funding evidence. Not a quotation, statutory amount or guaranteed forecast.</xltc:text>
  </xltc:threadedComment>
  <xltc:threadedComment ref="L48" dT="2026-10-25T08:29:51.778" personId="{5586D656-C9B8-4DF8-9570-3859735071E3}" id="{75A8BE70-8E2E-4D72-A49C-5E42FD0783C8}">
    <xltc:text>Source: original illustrative planning assumption, Finin2min, 25 October 2026; replace with actual operating or funding evidence. Not a quotation, statutory amount or guaranteed forecast.</xltc:text>
  </xltc:threadedComment>
  <xltc:threadedComment ref="M48" dT="2026-10-25T08:29:51.778" personId="{5586D656-C9B8-4DF8-9570-3859735071E3}" id="{EE6717FA-498C-446C-BAD4-3576BE99242E}">
    <xltc:text>Source: original illustrative planning assumption, Finin2min, 25 October 2026; replace with actual operating or funding evidence. Not a quotation, statutory amount or guaranteed forecast.</xltc:text>
  </xltc:threadedComment>
  <xltc:threadedComment ref="N48" dT="2026-10-25T08:29:51.778" personId="{5586D656-C9B8-4DF8-9570-3859735071E3}" id="{CC23F288-24FC-482E-B9EC-ACD347F5638B}">
    <xltc:text>Source: original illustrative planning assumption, Finin2min, 25 October 2026; replace with actual operating or funding evidence. Not a quotation, statutory amount or guaranteed forecast.</xltc:text>
  </xltc:threadedComment>
  <xltc:threadedComment ref="O48" dT="2026-10-25T08:29:51.778" personId="{5586D656-C9B8-4DF8-9570-3859735071E3}" id="{A0E88E37-29A9-495F-9C0B-1B5277E49C9D}">
    <xltc:text>Source: original illustrative planning assumption, Finin2min, 25 October 2026; replace with actual operating or funding evidence. Not a quotation, statutory amount or guaranteed forecast.</xltc:text>
  </xltc:threadedComment>
  <xltc:threadedComment ref="E60" dT="2026-10-25T08:29:51.778" personId="{5586D656-C9B8-4DF8-9570-3859735071E3}" id="{3AEFA85B-9B6C-40E1-9D0E-C9AFAC590805}">
    <xltc:text>Source: original illustrative planning assumption, Finin2min, 25 October 2026; replace with actual operating or funding evidence. Zero tax cash is an unresolved input, not exemption.</xltc:text>
  </xltc:threadedComment>
  <xltc:threadedComment ref="F60" dT="2026-10-25T08:29:51.778" personId="{5586D656-C9B8-4DF8-9570-3859735071E3}" id="{7E187F29-5A17-4BE7-AEC4-B03AA7A7BBFF}">
    <xltc:text>Source: original illustrative planning assumption, Finin2min, 25 October 2026; replace with actual operating or funding evidence. Zero tax cash is an unresolved input, not exemption.</xltc:text>
  </xltc:threadedComment>
  <xltc:threadedComment ref="G60" dT="2026-10-25T08:29:51.778" personId="{5586D656-C9B8-4DF8-9570-3859735071E3}" id="{B1381FE4-9767-44D4-8CB6-6C3DD70ED2B0}">
    <xltc:text>Source: original illustrative planning assumption, Finin2min, 25 October 2026; replace with actual operating or funding evidence. Zero tax cash is an unresolved input, not exemption.</xltc:text>
  </xltc:threadedComment>
  <xltc:threadedComment ref="H60" dT="2026-10-25T08:29:51.778" personId="{5586D656-C9B8-4DF8-9570-3859735071E3}" id="{C41130B2-F123-458D-B80E-0B42FFEBB21A}">
    <xltc:text>Source: original illustrative planning assumption, Finin2min, 25 October 2026; replace with actual operating or funding evidence. Zero tax cash is an unresolved input, not exemption.</xltc:text>
  </xltc:threadedComment>
  <xltc:threadedComment ref="I60" dT="2026-10-25T08:29:51.778" personId="{5586D656-C9B8-4DF8-9570-3859735071E3}" id="{03E8E354-5E8E-4BA6-B887-1E1CDACCC01E}">
    <xltc:text>Source: original illustrative planning assumption, Finin2min, 25 October 2026; replace with actual operating or funding evidence. Zero tax cash is an unresolved input, not exemption.</xltc:text>
  </xltc:threadedComment>
  <xltc:threadedComment ref="J60" dT="2026-10-25T08:29:51.778" personId="{5586D656-C9B8-4DF8-9570-3859735071E3}" id="{4E2126AD-3F11-42E7-8CD5-3BEA0514111A}">
    <xltc:text>Source: original illustrative planning assumption, Finin2min, 25 October 2026; replace with actual operating or funding evidence. Zero tax cash is an unresolved input, not exemption.</xltc:text>
  </xltc:threadedComment>
  <xltc:threadedComment ref="K60" dT="2026-10-25T08:29:51.778" personId="{5586D656-C9B8-4DF8-9570-3859735071E3}" id="{A71A34D0-A05A-4D2F-A166-FCDA0F00B413}">
    <xltc:text>Source: original illustrative planning assumption, Finin2min, 25 October 2026; replace with actual operating or funding evidence. Zero tax cash is an unresolved input, not exemption.</xltc:text>
  </xltc:threadedComment>
  <xltc:threadedComment ref="L60" dT="2026-10-25T08:29:51.778" personId="{5586D656-C9B8-4DF8-9570-3859735071E3}" id="{DBD54A39-A679-48FD-A275-EEDCE9E43B05}">
    <xltc:text>Source: original illustrative planning assumption, Finin2min, 25 October 2026; replace with actual operating or funding evidence. Zero tax cash is an unresolved input, not exemption.</xltc:text>
  </xltc:threadedComment>
  <xltc:threadedComment ref="M60" dT="2026-10-25T08:29:51.778" personId="{5586D656-C9B8-4DF8-9570-3859735071E3}" id="{C7AF5B96-A8FA-4269-9F92-05A1153EC113}">
    <xltc:text>Source: original illustrative planning assumption, Finin2min, 25 October 2026; replace with actual operating or funding evidence. Zero tax cash is an unresolved input, not exemption.</xltc:text>
  </xltc:threadedComment>
  <xltc:threadedComment ref="N60" dT="2026-10-25T08:29:51.778" personId="{5586D656-C9B8-4DF8-9570-3859735071E3}" id="{83A93654-C933-45FA-B6E0-9D7437B534C5}">
    <xltc:text>Source: original illustrative planning assumption, Finin2min, 25 October 2026; replace with actual operating or funding evidence. Zero tax cash is an unresolved input, not exemption.</xltc:text>
  </xltc:threadedComment>
  <xltc:threadedComment ref="O60" dT="2026-10-25T08:29:51.778" personId="{5586D656-C9B8-4DF8-9570-3859735071E3}" id="{2BB3B4DA-EE4D-48EB-AE87-80C58FDE91B0}">
    <xltc:text>Source: original illustrative planning assumption, Finin2min, 25 October 2026; replace with actual operating or funding evidence. Zero tax cash is an unresolved input, not exemption.</xltc:text>
  </xltc:threadedComment>
  <xltc:threadedComment ref="E61" dT="2026-10-25T08:29:51.778" personId="{5586D656-C9B8-4DF8-9570-3859735071E3}" id="{5DD007F7-BB66-4E18-8FE1-B7768FB2D9AD}">
    <xltc:text>Source: original illustrative planning assumption, Finin2min, 25 October 2026; replace with actual operating or funding evidence. Not a quotation, statutory amount or guaranteed forecast.</xltc:text>
  </xltc:threadedComment>
  <xltc:threadedComment ref="F61" dT="2026-10-25T08:29:51.778" personId="{5586D656-C9B8-4DF8-9570-3859735071E3}" id="{C564A768-806B-4365-9A23-99F2689922A0}">
    <xltc:text>Source: original illustrative planning assumption, Finin2min, 25 October 2026; replace with actual operating or funding evidence. Not a quotation, statutory amount or guaranteed forecast.</xltc:text>
  </xltc:threadedComment>
  <xltc:threadedComment ref="G61" dT="2026-10-25T08:29:51.778" personId="{5586D656-C9B8-4DF8-9570-3859735071E3}" id="{9B47FF77-8D8B-4974-B173-16CB5E82F5C3}">
    <xltc:text>Source: original illustrative planning assumption, Finin2min, 25 October 2026; replace with actual operating or funding evidence. Not a quotation, statutory amount or guaranteed forecast.</xltc:text>
  </xltc:threadedComment>
  <xltc:threadedComment ref="H61" dT="2026-10-25T08:29:51.778" personId="{5586D656-C9B8-4DF8-9570-3859735071E3}" id="{FA88409A-F3F6-4287-BF23-C1151A800CD7}">
    <xltc:text>Source: original illustrative planning assumption, Finin2min, 25 October 2026; replace with actual operating or funding evidence. Not a quotation, statutory amount or guaranteed forecast.</xltc:text>
  </xltc:threadedComment>
  <xltc:threadedComment ref="I61" dT="2026-10-25T08:29:51.778" personId="{5586D656-C9B8-4DF8-9570-3859735071E3}" id="{A7125746-5636-4E9C-A242-2C76BF0B8FBB}">
    <xltc:text>Source: original illustrative planning assumption, Finin2min, 25 October 2026; replace with actual operating or funding evidence. Not a quotation, statutory amount or guaranteed forecast.</xltc:text>
  </xltc:threadedComment>
  <xltc:threadedComment ref="J61" dT="2026-10-25T08:29:51.778" personId="{5586D656-C9B8-4DF8-9570-3859735071E3}" id="{83C68DE1-2E63-4856-9C9D-54D6BB59B4FD}">
    <xltc:text>Source: original illustrative planning assumption, Finin2min, 25 October 2026; replace with actual operating or funding evidence. Not a quotation, statutory amount or guaranteed forecast.</xltc:text>
  </xltc:threadedComment>
  <xltc:threadedComment ref="K61" dT="2026-10-25T08:29:51.778" personId="{5586D656-C9B8-4DF8-9570-3859735071E3}" id="{E7D59E32-9555-4429-B7B6-06F39C3B84C9}">
    <xltc:text>Source: original illustrative planning assumption, Finin2min, 25 October 2026; replace with actual operating or funding evidence. Not a quotation, statutory amount or guaranteed forecast.</xltc:text>
  </xltc:threadedComment>
  <xltc:threadedComment ref="L61" dT="2026-10-25T08:29:51.778" personId="{5586D656-C9B8-4DF8-9570-3859735071E3}" id="{F47A8D32-DD2C-4E59-89BA-579DEE63A33E}">
    <xltc:text>Source: original illustrative planning assumption, Finin2min, 25 October 2026; replace with actual operating or funding evidence. Not a quotation, statutory amount or guaranteed forecast.</xltc:text>
  </xltc:threadedComment>
  <xltc:threadedComment ref="M61" dT="2026-10-25T08:29:51.778" personId="{5586D656-C9B8-4DF8-9570-3859735071E3}" id="{2175114B-C8B5-4E12-9FF7-19511C4008AB}">
    <xltc:text>Source: original illustrative planning assumption, Finin2min, 25 October 2026; replace with actual operating or funding evidence. Not a quotation, statutory amount or guaranteed forecast.</xltc:text>
  </xltc:threadedComment>
  <xltc:threadedComment ref="N61" dT="2026-10-25T08:29:51.779" personId="{5586D656-C9B8-4DF8-9570-3859735071E3}" id="{F60B9A42-C0F2-4268-A6CA-BE8E3F49B2FD}">
    <xltc:text>Source: original illustrative planning assumption, Finin2min, 25 October 2026; replace with actual operating or funding evidence. Not a quotation, statutory amount or guaranteed forecast.</xltc:text>
  </xltc:threadedComment>
  <xltc:threadedComment ref="O61" dT="2026-10-25T08:29:51.779" personId="{5586D656-C9B8-4DF8-9570-3859735071E3}" id="{A9493FD1-4F68-44E7-8DA3-04EED92B336C}">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7.xml><?xml version="1.0" encoding="utf-8"?>
<xltc:ThreadedComments xmlns:xltc="http://schemas.microsoft.com/office/spreadsheetml/2018/threadedcomments">
  <xltc:threadedComment ref="D35" dT="2026-10-25T08:24:07.094" personId="{5586D656-C9B8-4DF8-9570-3859735071E3}" id="{0E940955-F058-4812-A81B-EB71DA7F104E}">
    <xltc:text>Source: original illustrative planning assumptions, Finin2min, 25 October 2026. Replace with evidence. Not a quotation, statutory calculation or guaranteed forecast.</xltc:text>
  </xltc:threadedComment>
  <xltc:threadedComment ref="D48" dT="2026-10-25T08:24:07.094" personId="{5586D656-C9B8-4DF8-9570-3859735071E3}" id="{AA24DEA3-9CF5-4147-BE50-677D15290A08}">
    <xltc:text>Source: original illustrative planning assumptions, Finin2min, 25 October 2026. Replace with evidence. Not a quotation, statutory calculation or guaranteed forecast.</xltc:text>
  </xltc:threadedComment>
  <xltc:threadedComment ref="D60" dT="2026-10-25T08:24:07.094" personId="{5586D656-C9B8-4DF8-9570-3859735071E3}" id="{AE7DB680-21F4-4A07-B7F9-DE8A376FE530}">
    <xltc:text>Source: original illustrative planning assumptions, Finin2min, 25 October 2026. Replace with evidence. Tax cash begins at zero as an unresolved input, not a statement of exemption.</xltc:text>
  </xltc:threadedComment>
  <xltc:threadedComment ref="D61" dT="2026-10-25T08:24:07.094" personId="{5586D656-C9B8-4DF8-9570-3859735071E3}" id="{CA4658E1-A066-49F0-BAAF-2EB4B10C5523}">
    <xltc:text>Source: original illustrative planning assumptions, Finin2min, 25 October 2026. Replace with evidence. Not a quotation, statutory calculation or guaranteed forecast.</xltc:text>
  </xltc:threadedComment>
  <xltc:threadedComment ref="B8" dT="2026-10-25T08:24:07.094" personId="{5586D656-C9B8-4DF8-9570-3859735071E3}" id="{3568230A-F0EE-41D3-9A58-F153C1EE5011}">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9" dT="2026-10-25T08:24:07.094" personId="{5586D656-C9B8-4DF8-9570-3859735071E3}" id="{2AF6C0F4-C0DD-43E3-9C0D-276B8979C07F}">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0" dT="2026-10-25T08:24:07.094" personId="{5586D656-C9B8-4DF8-9570-3859735071E3}" id="{A287562D-A37A-4E0B-8D57-BCC2468D7617}">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1" dT="2026-10-25T08:24:07.094" personId="{5586D656-C9B8-4DF8-9570-3859735071E3}" id="{1EC42251-B017-417C-B061-6139227E4236}">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2" dT="2026-10-25T08:24:07.094" personId="{5586D656-C9B8-4DF8-9570-3859735071E3}" id="{C9056870-C449-47F5-8180-DB1032F406B8}">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3" dT="2026-10-25T08:24:07.094" personId="{5586D656-C9B8-4DF8-9570-3859735071E3}" id="{8524062D-45CC-4B78-9D56-C8A2B5A4BF72}">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4" dT="2026-10-25T08:24:07.094" personId="{5586D656-C9B8-4DF8-9570-3859735071E3}" id="{7ECA5118-EAE7-49F2-90F7-94D2F9E495B6}">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5" dT="2026-10-25T08:24:07.095" personId="{5586D656-C9B8-4DF8-9570-3859735071E3}" id="{405D381F-77DF-4D1C-BD60-983DDC63137B}">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6" dT="2026-10-25T08:24:07.095" personId="{5586D656-C9B8-4DF8-9570-3859735071E3}" id="{4BF806FE-8F4E-405F-A46C-FDBCAA4C00A5}">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7" dT="2026-10-25T08:24:07.095" personId="{5586D656-C9B8-4DF8-9570-3859735071E3}" id="{6D85324A-4B44-4F43-8E80-073E59AA08D2}">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8" dT="2026-10-25T08:24:07.095" personId="{5586D656-C9B8-4DF8-9570-3859735071E3}" id="{224A89CF-7869-400F-8455-512259E93509}">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9" dT="2026-10-25T08:24:07.095" personId="{5586D656-C9B8-4DF8-9570-3859735071E3}" id="{3A6214F4-E6AD-4972-A045-C9C6059DCC6E}">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0" dT="2026-10-25T08:24:07.095" personId="{5586D656-C9B8-4DF8-9570-3859735071E3}" id="{64FFF769-A65D-4E0B-948A-47E5D827AA4A}">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1" dT="2026-10-25T08:24:07.095" personId="{5586D656-C9B8-4DF8-9570-3859735071E3}" id="{B5FE5E5C-416A-47BC-A4F5-B4F92042A963}">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2" dT="2026-10-25T08:24:07.095" personId="{5586D656-C9B8-4DF8-9570-3859735071E3}" id="{FCBECB09-FF05-445C-A2D0-14F0C0877AF9}">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3" dT="2026-10-25T08:24:07.095" personId="{5586D656-C9B8-4DF8-9570-3859735071E3}" id="{B46F1486-3B74-4194-94BE-E47670BB7D7B}">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4" dT="2026-10-25T08:24:07.095" personId="{5586D656-C9B8-4DF8-9570-3859735071E3}" id="{034137C8-F7F5-4A6A-AB15-FD3315B412D5}">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5" dT="2026-10-25T08:24:07.095" personId="{5586D656-C9B8-4DF8-9570-3859735071E3}" id="{F8DB93EC-62F7-4329-88B3-1001F0F0B1C1}">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6" dT="2026-10-25T08:24:07.095" personId="{5586D656-C9B8-4DF8-9570-3859735071E3}" id="{A5F34E27-7AC8-4477-AB45-795E031C8F1A}">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7" dT="2026-10-25T08:24:07.095" personId="{5586D656-C9B8-4DF8-9570-3859735071E3}" id="{B0E1AAAE-59FD-49F8-98AA-DC161BDC6CD3}">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8" dT="2026-10-25T08:24:07.095" personId="{5586D656-C9B8-4DF8-9570-3859735071E3}" id="{60E89813-2957-4182-82A9-98231937BB03}">
    <xltc:text>Source: original illustrative Staffing, Recruitment &amp; Payroll Services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E35" dT="2026-10-25T08:29:51.779" personId="{5586D656-C9B8-4DF8-9570-3859735071E3}" id="{CAD2D85C-1DCC-4391-9E15-38C672568828}">
    <xltc:text>Source: original illustrative planning assumption, Finin2min, 25 October 2026; replace with actual operating or funding evidence. Not a quotation, statutory amount or guaranteed forecast.</xltc:text>
  </xltc:threadedComment>
  <xltc:threadedComment ref="F35" dT="2026-10-25T08:29:51.779" personId="{5586D656-C9B8-4DF8-9570-3859735071E3}" id="{C70E3541-8991-41FC-99FA-7E9CD65ED3D1}">
    <xltc:text>Source: original illustrative planning assumption, Finin2min, 25 October 2026; replace with actual operating or funding evidence. Not a quotation, statutory amount or guaranteed forecast.</xltc:text>
  </xltc:threadedComment>
  <xltc:threadedComment ref="G35" dT="2026-10-25T08:29:51.779" personId="{5586D656-C9B8-4DF8-9570-3859735071E3}" id="{C61C05EB-DC64-489C-B024-C700C51D4943}">
    <xltc:text>Source: original illustrative planning assumption, Finin2min, 25 October 2026; replace with actual operating or funding evidence. Not a quotation, statutory amount or guaranteed forecast.</xltc:text>
  </xltc:threadedComment>
  <xltc:threadedComment ref="H35" dT="2026-10-25T08:29:51.779" personId="{5586D656-C9B8-4DF8-9570-3859735071E3}" id="{3E4BAA0A-98ED-4410-93FE-954734B827C2}">
    <xltc:text>Source: original illustrative planning assumption, Finin2min, 25 October 2026; replace with actual operating or funding evidence. Not a quotation, statutory amount or guaranteed forecast.</xltc:text>
  </xltc:threadedComment>
  <xltc:threadedComment ref="I35" dT="2026-10-25T08:29:51.779" personId="{5586D656-C9B8-4DF8-9570-3859735071E3}" id="{E5E21654-469A-4880-8B7B-17CC47469303}">
    <xltc:text>Source: original illustrative planning assumption, Finin2min, 25 October 2026; replace with actual operating or funding evidence. Not a quotation, statutory amount or guaranteed forecast.</xltc:text>
  </xltc:threadedComment>
  <xltc:threadedComment ref="J35" dT="2026-10-25T08:29:51.779" personId="{5586D656-C9B8-4DF8-9570-3859735071E3}" id="{5D1ABC08-9110-4F4E-BE40-86BB59224D54}">
    <xltc:text>Source: original illustrative planning assumption, Finin2min, 25 October 2026; replace with actual operating or funding evidence. Not a quotation, statutory amount or guaranteed forecast.</xltc:text>
  </xltc:threadedComment>
  <xltc:threadedComment ref="K35" dT="2026-10-25T08:29:51.779" personId="{5586D656-C9B8-4DF8-9570-3859735071E3}" id="{2E980060-AD9D-4D50-924A-F0AF88CE354D}">
    <xltc:text>Source: original illustrative planning assumption, Finin2min, 25 October 2026; replace with actual operating or funding evidence. Not a quotation, statutory amount or guaranteed forecast.</xltc:text>
  </xltc:threadedComment>
  <xltc:threadedComment ref="L35" dT="2026-10-25T08:29:51.779" personId="{5586D656-C9B8-4DF8-9570-3859735071E3}" id="{942ACAF8-25C3-4A9B-8D82-C3F2F2594879}">
    <xltc:text>Source: original illustrative planning assumption, Finin2min, 25 October 2026; replace with actual operating or funding evidence. Not a quotation, statutory amount or guaranteed forecast.</xltc:text>
  </xltc:threadedComment>
  <xltc:threadedComment ref="M35" dT="2026-10-25T08:29:51.779" personId="{5586D656-C9B8-4DF8-9570-3859735071E3}" id="{CF24735F-8BC6-46DD-BDA4-27F025AF551A}">
    <xltc:text>Source: original illustrative planning assumption, Finin2min, 25 October 2026; replace with actual operating or funding evidence. Not a quotation, statutory amount or guaranteed forecast.</xltc:text>
  </xltc:threadedComment>
  <xltc:threadedComment ref="N35" dT="2026-10-25T08:29:51.779" personId="{5586D656-C9B8-4DF8-9570-3859735071E3}" id="{E4339A40-07EA-434C-98F9-C829810F06AB}">
    <xltc:text>Source: original illustrative planning assumption, Finin2min, 25 October 2026; replace with actual operating or funding evidence. Not a quotation, statutory amount or guaranteed forecast.</xltc:text>
  </xltc:threadedComment>
  <xltc:threadedComment ref="O35" dT="2026-10-25T08:29:51.779" personId="{5586D656-C9B8-4DF8-9570-3859735071E3}" id="{DEF75E7A-B6AF-4E05-90A3-720149D8A50B}">
    <xltc:text>Source: original illustrative planning assumption, Finin2min, 25 October 2026; replace with actual operating or funding evidence. Not a quotation, statutory amount or guaranteed forecast.</xltc:text>
  </xltc:threadedComment>
  <xltc:threadedComment ref="E48" dT="2026-10-25T08:29:51.779" personId="{5586D656-C9B8-4DF8-9570-3859735071E3}" id="{06509823-CE47-4F8E-B2DA-EF27CB194DFC}">
    <xltc:text>Source: original illustrative planning assumption, Finin2min, 25 October 2026; replace with actual operating or funding evidence. Not a quotation, statutory amount or guaranteed forecast.</xltc:text>
  </xltc:threadedComment>
  <xltc:threadedComment ref="F48" dT="2026-10-25T08:29:51.779" personId="{5586D656-C9B8-4DF8-9570-3859735071E3}" id="{DA63E276-16F3-4EB8-A47C-3E716B574523}">
    <xltc:text>Source: original illustrative planning assumption, Finin2min, 25 October 2026; replace with actual operating or funding evidence. Not a quotation, statutory amount or guaranteed forecast.</xltc:text>
  </xltc:threadedComment>
  <xltc:threadedComment ref="G48" dT="2026-10-25T08:29:51.779" personId="{5586D656-C9B8-4DF8-9570-3859735071E3}" id="{802A71C9-DA56-4C4B-8B9B-45FBECF7FC06}">
    <xltc:text>Source: original illustrative planning assumption, Finin2min, 25 October 2026; replace with actual operating or funding evidence. Not a quotation, statutory amount or guaranteed forecast.</xltc:text>
  </xltc:threadedComment>
  <xltc:threadedComment ref="H48" dT="2026-10-25T08:29:51.779" personId="{5586D656-C9B8-4DF8-9570-3859735071E3}" id="{33C63A42-B5B2-4794-9277-41C95DDEBEFD}">
    <xltc:text>Source: original illustrative planning assumption, Finin2min, 25 October 2026; replace with actual operating or funding evidence. Not a quotation, statutory amount or guaranteed forecast.</xltc:text>
  </xltc:threadedComment>
  <xltc:threadedComment ref="I48" dT="2026-10-25T08:29:51.779" personId="{5586D656-C9B8-4DF8-9570-3859735071E3}" id="{47E01A53-BAE9-465C-B41F-4062BE0526C4}">
    <xltc:text>Source: original illustrative planning assumption, Finin2min, 25 October 2026; replace with actual operating or funding evidence. Not a quotation, statutory amount or guaranteed forecast.</xltc:text>
  </xltc:threadedComment>
  <xltc:threadedComment ref="J48" dT="2026-10-25T08:29:51.779" personId="{5586D656-C9B8-4DF8-9570-3859735071E3}" id="{25989DDB-594A-4464-A93A-53761001EC83}">
    <xltc:text>Source: original illustrative planning assumption, Finin2min, 25 October 2026; replace with actual operating or funding evidence. Not a quotation, statutory amount or guaranteed forecast.</xltc:text>
  </xltc:threadedComment>
  <xltc:threadedComment ref="K48" dT="2026-10-25T08:29:51.779" personId="{5586D656-C9B8-4DF8-9570-3859735071E3}" id="{DE03AC0E-FB84-40A3-8514-494D8EE7BD3C}">
    <xltc:text>Source: original illustrative planning assumption, Finin2min, 25 October 2026; replace with actual operating or funding evidence. Not a quotation, statutory amount or guaranteed forecast.</xltc:text>
  </xltc:threadedComment>
  <xltc:threadedComment ref="L48" dT="2026-10-25T08:29:51.779" personId="{5586D656-C9B8-4DF8-9570-3859735071E3}" id="{DB980161-A666-4F27-A257-F4B64A0A488C}">
    <xltc:text>Source: original illustrative planning assumption, Finin2min, 25 October 2026; replace with actual operating or funding evidence. Not a quotation, statutory amount or guaranteed forecast.</xltc:text>
  </xltc:threadedComment>
  <xltc:threadedComment ref="M48" dT="2026-10-25T08:29:51.779" personId="{5586D656-C9B8-4DF8-9570-3859735071E3}" id="{C6BBD9E8-9452-46E7-AEE7-862352D123AD}">
    <xltc:text>Source: original illustrative planning assumption, Finin2min, 25 October 2026; replace with actual operating or funding evidence. Not a quotation, statutory amount or guaranteed forecast.</xltc:text>
  </xltc:threadedComment>
  <xltc:threadedComment ref="N48" dT="2026-10-25T08:29:51.779" personId="{5586D656-C9B8-4DF8-9570-3859735071E3}" id="{4F3279E0-F9A3-425E-BC67-6473F20B55E3}">
    <xltc:text>Source: original illustrative planning assumption, Finin2min, 25 October 2026; replace with actual operating or funding evidence. Not a quotation, statutory amount or guaranteed forecast.</xltc:text>
  </xltc:threadedComment>
  <xltc:threadedComment ref="O48" dT="2026-10-25T08:29:51.779" personId="{5586D656-C9B8-4DF8-9570-3859735071E3}" id="{42A2E12B-CA88-4596-A1AD-BEBC45470C33}">
    <xltc:text>Source: original illustrative planning assumption, Finin2min, 25 October 2026; replace with actual operating or funding evidence. Not a quotation, statutory amount or guaranteed forecast.</xltc:text>
  </xltc:threadedComment>
  <xltc:threadedComment ref="E60" dT="2026-10-25T08:29:51.779" personId="{5586D656-C9B8-4DF8-9570-3859735071E3}" id="{D6D7F675-F9F9-4427-A9C5-A5D37EF7C354}">
    <xltc:text>Source: original illustrative planning assumption, Finin2min, 25 October 2026; replace with actual operating or funding evidence. Zero tax cash is an unresolved input, not exemption.</xltc:text>
  </xltc:threadedComment>
  <xltc:threadedComment ref="F60" dT="2026-10-25T08:29:51.779" personId="{5586D656-C9B8-4DF8-9570-3859735071E3}" id="{7F35DBDD-A1DB-4F5A-9D98-2533BCE8EF43}">
    <xltc:text>Source: original illustrative planning assumption, Finin2min, 25 October 2026; replace with actual operating or funding evidence. Zero tax cash is an unresolved input, not exemption.</xltc:text>
  </xltc:threadedComment>
  <xltc:threadedComment ref="G60" dT="2026-10-25T08:29:51.779" personId="{5586D656-C9B8-4DF8-9570-3859735071E3}" id="{F8FAAFF5-8B4C-471C-B77A-8D75369AAC0E}">
    <xltc:text>Source: original illustrative planning assumption, Finin2min, 25 October 2026; replace with actual operating or funding evidence. Zero tax cash is an unresolved input, not exemption.</xltc:text>
  </xltc:threadedComment>
  <xltc:threadedComment ref="H60" dT="2026-10-25T08:29:51.779" personId="{5586D656-C9B8-4DF8-9570-3859735071E3}" id="{7021DD87-DAC7-428C-A5F7-F862A2A9108A}">
    <xltc:text>Source: original illustrative planning assumption, Finin2min, 25 October 2026; replace with actual operating or funding evidence. Zero tax cash is an unresolved input, not exemption.</xltc:text>
  </xltc:threadedComment>
  <xltc:threadedComment ref="I60" dT="2026-10-25T08:29:51.779" personId="{5586D656-C9B8-4DF8-9570-3859735071E3}" id="{07609A67-C98E-440E-90C0-A27EA4FFDC01}">
    <xltc:text>Source: original illustrative planning assumption, Finin2min, 25 October 2026; replace with actual operating or funding evidence. Zero tax cash is an unresolved input, not exemption.</xltc:text>
  </xltc:threadedComment>
  <xltc:threadedComment ref="J60" dT="2026-10-25T08:29:51.779" personId="{5586D656-C9B8-4DF8-9570-3859735071E3}" id="{73BF42D4-4B83-49E5-B458-1B84DE02C116}">
    <xltc:text>Source: original illustrative planning assumption, Finin2min, 25 October 2026; replace with actual operating or funding evidence. Zero tax cash is an unresolved input, not exemption.</xltc:text>
  </xltc:threadedComment>
  <xltc:threadedComment ref="K60" dT="2026-10-25T08:29:51.779" personId="{5586D656-C9B8-4DF8-9570-3859735071E3}" id="{C3C58E4C-CD9A-4658-A0DF-7043A1DE09D5}">
    <xltc:text>Source: original illustrative planning assumption, Finin2min, 25 October 2026; replace with actual operating or funding evidence. Zero tax cash is an unresolved input, not exemption.</xltc:text>
  </xltc:threadedComment>
  <xltc:threadedComment ref="L60" dT="2026-10-25T08:29:51.779" personId="{5586D656-C9B8-4DF8-9570-3859735071E3}" id="{43FA9F6A-89A3-4A1C-A59A-580FD1618254}">
    <xltc:text>Source: original illustrative planning assumption, Finin2min, 25 October 2026; replace with actual operating or funding evidence. Zero tax cash is an unresolved input, not exemption.</xltc:text>
  </xltc:threadedComment>
  <xltc:threadedComment ref="M60" dT="2026-10-25T08:29:51.779" personId="{5586D656-C9B8-4DF8-9570-3859735071E3}" id="{9F56BF26-687A-4479-BC42-8ED10FC6F396}">
    <xltc:text>Source: original illustrative planning assumption, Finin2min, 25 October 2026; replace with actual operating or funding evidence. Zero tax cash is an unresolved input, not exemption.</xltc:text>
  </xltc:threadedComment>
  <xltc:threadedComment ref="N60" dT="2026-10-25T08:29:51.779" personId="{5586D656-C9B8-4DF8-9570-3859735071E3}" id="{B2752220-7E61-46D5-B2FB-6602B3605A10}">
    <xltc:text>Source: original illustrative planning assumption, Finin2min, 25 October 2026; replace with actual operating or funding evidence. Zero tax cash is an unresolved input, not exemption.</xltc:text>
  </xltc:threadedComment>
  <xltc:threadedComment ref="O60" dT="2026-10-25T08:29:51.779" personId="{5586D656-C9B8-4DF8-9570-3859735071E3}" id="{CAFD10B1-FDF8-47A9-A6F1-78FECBE1B378}">
    <xltc:text>Source: original illustrative planning assumption, Finin2min, 25 October 2026; replace with actual operating or funding evidence. Zero tax cash is an unresolved input, not exemption.</xltc:text>
  </xltc:threadedComment>
  <xltc:threadedComment ref="E61" dT="2026-10-25T08:29:51.779" personId="{5586D656-C9B8-4DF8-9570-3859735071E3}" id="{A6436060-F5E5-4C44-9906-DC27F64E2664}">
    <xltc:text>Source: original illustrative planning assumption, Finin2min, 25 October 2026; replace with actual operating or funding evidence. Not a quotation, statutory amount or guaranteed forecast.</xltc:text>
  </xltc:threadedComment>
  <xltc:threadedComment ref="F61" dT="2026-10-25T08:29:51.779" personId="{5586D656-C9B8-4DF8-9570-3859735071E3}" id="{E8A6F995-A62D-439F-A12D-3930DC5F6D65}">
    <xltc:text>Source: original illustrative planning assumption, Finin2min, 25 October 2026; replace with actual operating or funding evidence. Not a quotation, statutory amount or guaranteed forecast.</xltc:text>
  </xltc:threadedComment>
  <xltc:threadedComment ref="G61" dT="2026-10-25T08:29:51.779" personId="{5586D656-C9B8-4DF8-9570-3859735071E3}" id="{256654AF-194A-4669-8634-DCAD350BE64D}">
    <xltc:text>Source: original illustrative planning assumption, Finin2min, 25 October 2026; replace with actual operating or funding evidence. Not a quotation, statutory amount or guaranteed forecast.</xltc:text>
  </xltc:threadedComment>
  <xltc:threadedComment ref="H61" dT="2026-10-25T08:29:51.779" personId="{5586D656-C9B8-4DF8-9570-3859735071E3}" id="{A49BA5F2-C49E-4F00-86BD-DC45437FFA8C}">
    <xltc:text>Source: original illustrative planning assumption, Finin2min, 25 October 2026; replace with actual operating or funding evidence. Not a quotation, statutory amount or guaranteed forecast.</xltc:text>
  </xltc:threadedComment>
  <xltc:threadedComment ref="I61" dT="2026-10-25T08:29:51.779" personId="{5586D656-C9B8-4DF8-9570-3859735071E3}" id="{309A3417-C8AA-4853-BB76-25422937BC27}">
    <xltc:text>Source: original illustrative planning assumption, Finin2min, 25 October 2026; replace with actual operating or funding evidence. Not a quotation, statutory amount or guaranteed forecast.</xltc:text>
  </xltc:threadedComment>
  <xltc:threadedComment ref="J61" dT="2026-10-25T08:29:51.779" personId="{5586D656-C9B8-4DF8-9570-3859735071E3}" id="{C29164A4-55E5-4DB5-9BDB-5836ACEB4ADA}">
    <xltc:text>Source: original illustrative planning assumption, Finin2min, 25 October 2026; replace with actual operating or funding evidence. Not a quotation, statutory amount or guaranteed forecast.</xltc:text>
  </xltc:threadedComment>
  <xltc:threadedComment ref="K61" dT="2026-10-25T08:29:51.779" personId="{5586D656-C9B8-4DF8-9570-3859735071E3}" id="{FFCF6BBD-AFD3-4004-B5FF-2A83EDEDF90C}">
    <xltc:text>Source: original illustrative planning assumption, Finin2min, 25 October 2026; replace with actual operating or funding evidence. Not a quotation, statutory amount or guaranteed forecast.</xltc:text>
  </xltc:threadedComment>
  <xltc:threadedComment ref="L61" dT="2026-10-25T08:29:51.779" personId="{5586D656-C9B8-4DF8-9570-3859735071E3}" id="{873B538B-CF78-4C8F-9750-B807BB4ABFA8}">
    <xltc:text>Source: original illustrative planning assumption, Finin2min, 25 October 2026; replace with actual operating or funding evidence. Not a quotation, statutory amount or guaranteed forecast.</xltc:text>
  </xltc:threadedComment>
  <xltc:threadedComment ref="M61" dT="2026-10-25T08:29:51.779" personId="{5586D656-C9B8-4DF8-9570-3859735071E3}" id="{95FECFA3-AB06-477E-9EE8-14A570B6B955}">
    <xltc:text>Source: original illustrative planning assumption, Finin2min, 25 October 2026; replace with actual operating or funding evidence. Not a quotation, statutory amount or guaranteed forecast.</xltc:text>
  </xltc:threadedComment>
  <xltc:threadedComment ref="N61" dT="2026-10-25T08:29:51.779" personId="{5586D656-C9B8-4DF8-9570-3859735071E3}" id="{0FB58A7F-0B36-461F-A4BD-9FC6A9E50A5B}">
    <xltc:text>Source: original illustrative planning assumption, Finin2min, 25 October 2026; replace with actual operating or funding evidence. Not a quotation, statutory amount or guaranteed forecast.</xltc:text>
  </xltc:threadedComment>
  <xltc:threadedComment ref="O61" dT="2026-10-25T08:29:51.779" personId="{5586D656-C9B8-4DF8-9570-3859735071E3}" id="{32B1F9B3-D0FE-44FA-9D4E-749FD47B5A55}">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8.xml><?xml version="1.0" encoding="utf-8"?>
<xltc:ThreadedComments xmlns:xltc="http://schemas.microsoft.com/office/spreadsheetml/2018/threadedcomments">
  <xltc:threadedComment ref="D35" dT="2026-10-25T08:24:07.095" personId="{5586D656-C9B8-4DF8-9570-3859735071E3}" id="{B9531C93-95BC-43D8-BAB2-1F80ECB533B1}">
    <xltc:text>Source: original illustrative planning assumptions, Finin2min, 25 October 2026. Replace with evidence. Not a quotation, statutory calculation or guaranteed forecast.</xltc:text>
  </xltc:threadedComment>
  <xltc:threadedComment ref="D48" dT="2026-10-25T08:24:07.095" personId="{5586D656-C9B8-4DF8-9570-3859735071E3}" id="{DF97431E-9365-4564-AF19-655F87145D7B}">
    <xltc:text>Source: original illustrative planning assumptions, Finin2min, 25 October 2026. Replace with evidence. Not a quotation, statutory calculation or guaranteed forecast.</xltc:text>
  </xltc:threadedComment>
  <xltc:threadedComment ref="D60" dT="2026-10-25T08:24:07.095" personId="{5586D656-C9B8-4DF8-9570-3859735071E3}" id="{8B702DE0-907B-4C35-8EDE-5C43734E75FD}">
    <xltc:text>Source: original illustrative planning assumptions, Finin2min, 25 October 2026. Replace with evidence. Tax cash begins at zero as an unresolved input, not a statement of exemption.</xltc:text>
  </xltc:threadedComment>
  <xltc:threadedComment ref="D61" dT="2026-10-25T08:24:07.095" personId="{5586D656-C9B8-4DF8-9570-3859735071E3}" id="{9BBE4A05-623C-4A01-B205-DF80D4F3DB21}">
    <xltc:text>Source: original illustrative planning assumptions, Finin2min, 25 October 2026. Replace with evidence. Not a quotation, statutory calculation or guaranteed forecast.</xltc:text>
  </xltc:threadedComment>
  <xltc:threadedComment ref="B8" dT="2026-10-25T08:24:07.095" personId="{5586D656-C9B8-4DF8-9570-3859735071E3}" id="{A14B5897-700E-423A-98BE-2CD9BEF4C09C}">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9" dT="2026-10-25T08:24:07.095" personId="{5586D656-C9B8-4DF8-9570-3859735071E3}" id="{0F8A3303-45B5-4B3F-9C4C-D732BBAF4709}">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0" dT="2026-10-25T08:24:07.095" personId="{5586D656-C9B8-4DF8-9570-3859735071E3}" id="{FCEE7608-00C1-4365-B439-B6E2CD0F3898}">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1" dT="2026-10-25T08:24:07.095" personId="{5586D656-C9B8-4DF8-9570-3859735071E3}" id="{A78EBFEE-49D9-4DAF-AE53-D6C2ED639EAD}">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2" dT="2026-10-25T08:24:07.095" personId="{5586D656-C9B8-4DF8-9570-3859735071E3}" id="{093F1DED-DBF6-4FDB-B5EA-6A634E8EF68B}">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3" dT="2026-10-25T08:24:07.095" personId="{5586D656-C9B8-4DF8-9570-3859735071E3}" id="{4551008F-E01D-49F7-9AC1-9F3414AAB403}">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4" dT="2026-10-25T08:24:07.095" personId="{5586D656-C9B8-4DF8-9570-3859735071E3}" id="{EBA1CDB9-FC49-45EA-B008-B9B67E832009}">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5" dT="2026-10-25T08:24:07.095" personId="{5586D656-C9B8-4DF8-9570-3859735071E3}" id="{B988B727-7EF7-4CB2-A487-3C27946B5CB0}">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6" dT="2026-10-25T08:24:07.095" personId="{5586D656-C9B8-4DF8-9570-3859735071E3}" id="{20D5BC1D-0943-4827-B7E5-25179FEED08B}">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7" dT="2026-10-25T08:24:07.095" personId="{5586D656-C9B8-4DF8-9570-3859735071E3}" id="{2AC56EF9-8C3A-42F5-8AF0-7522BF5BE8AC}">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8" dT="2026-10-25T08:24:07.095" personId="{5586D656-C9B8-4DF8-9570-3859735071E3}" id="{5FA08496-CD72-4EB5-98E1-D5D101B3D400}">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19" dT="2026-10-25T08:24:07.095" personId="{5586D656-C9B8-4DF8-9570-3859735071E3}" id="{F27E81CF-826F-4430-9330-3CBD759A5280}">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0" dT="2026-10-25T08:24:07.095" personId="{5586D656-C9B8-4DF8-9570-3859735071E3}" id="{1C98A5DA-0978-4070-9B9D-CFEF84F0513F}">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1" dT="2026-10-25T08:24:07.095" personId="{5586D656-C9B8-4DF8-9570-3859735071E3}" id="{966EB8E5-8F75-442E-9058-2B51D4A3ED26}">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2" dT="2026-10-25T08:24:07.095" personId="{5586D656-C9B8-4DF8-9570-3859735071E3}" id="{CD372444-798C-40E7-B13A-723A00156630}">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3" dT="2026-10-25T08:24:07.095" personId="{5586D656-C9B8-4DF8-9570-3859735071E3}" id="{75142AB5-3A4A-4705-9EF5-1B07DF2ECEE8}">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4" dT="2026-10-25T08:24:07.095" personId="{5586D656-C9B8-4DF8-9570-3859735071E3}" id="{631CA164-F683-48F2-BC47-5CAB2DBB90EF}">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5" dT="2026-10-25T08:24:07.095" personId="{5586D656-C9B8-4DF8-9570-3859735071E3}" id="{CFEB93B4-2C35-478E-9BC5-586F3882F737}">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6" dT="2026-10-25T08:24:07.095" personId="{5586D656-C9B8-4DF8-9570-3859735071E3}" id="{480CF2A2-9628-4148-93F8-AE9AAEF30CBB}">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7" dT="2026-10-25T08:24:07.095" personId="{5586D656-C9B8-4DF8-9570-3859735071E3}" id="{ED90BFEB-5EE0-4288-8727-51A24ADFA0F5}">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B28" dT="2026-10-25T08:24:07.095" personId="{5586D656-C9B8-4DF8-9570-3859735071E3}" id="{649F573B-A5A6-4101-92FF-4C183EDEC30B}">
    <xltc:text>Source: original illustrative Commercial Cleaning &amp; Facility Management scenario prepared by Finin2min Editorial Desk on 25 October 2026. Not researched market prices or statutory fees. Replace with signed quotes, contracts, capacity evidence and actual operating data. Sector context: https://labour.gov.in/sites/default/files/pib2192463.pdf</xltc:text>
  </xltc:threadedComment>
  <xltc:threadedComment ref="E35" dT="2026-10-25T08:29:51.779" personId="{5586D656-C9B8-4DF8-9570-3859735071E3}" id="{ECC0D8D9-D79C-4CD9-9032-F3D99A442DC5}">
    <xltc:text>Source: original illustrative planning assumption, Finin2min, 25 October 2026; replace with actual operating or funding evidence. Not a quotation, statutory amount or guaranteed forecast.</xltc:text>
  </xltc:threadedComment>
  <xltc:threadedComment ref="F35" dT="2026-10-25T08:29:51.779" personId="{5586D656-C9B8-4DF8-9570-3859735071E3}" id="{8EF9A47A-38E1-40A6-84DA-8909EF40DEC9}">
    <xltc:text>Source: original illustrative planning assumption, Finin2min, 25 October 2026; replace with actual operating or funding evidence. Not a quotation, statutory amount or guaranteed forecast.</xltc:text>
  </xltc:threadedComment>
  <xltc:threadedComment ref="G35" dT="2026-10-25T08:29:51.779" personId="{5586D656-C9B8-4DF8-9570-3859735071E3}" id="{CA917C33-F1C1-4281-A19E-D2E583E45C45}">
    <xltc:text>Source: original illustrative planning assumption, Finin2min, 25 October 2026; replace with actual operating or funding evidence. Not a quotation, statutory amount or guaranteed forecast.</xltc:text>
  </xltc:threadedComment>
  <xltc:threadedComment ref="H35" dT="2026-10-25T08:29:51.779" personId="{5586D656-C9B8-4DF8-9570-3859735071E3}" id="{FA4909C7-C9DD-4117-8DE4-9415D3FC9EBA}">
    <xltc:text>Source: original illustrative planning assumption, Finin2min, 25 October 2026; replace with actual operating or funding evidence. Not a quotation, statutory amount or guaranteed forecast.</xltc:text>
  </xltc:threadedComment>
  <xltc:threadedComment ref="I35" dT="2026-10-25T08:29:51.779" personId="{5586D656-C9B8-4DF8-9570-3859735071E3}" id="{09174AE3-CEED-4C3A-885E-4B541EAF2DC5}">
    <xltc:text>Source: original illustrative planning assumption, Finin2min, 25 October 2026; replace with actual operating or funding evidence. Not a quotation, statutory amount or guaranteed forecast.</xltc:text>
  </xltc:threadedComment>
  <xltc:threadedComment ref="J35" dT="2026-10-25T08:29:51.779" personId="{5586D656-C9B8-4DF8-9570-3859735071E3}" id="{5317E452-E502-4631-9524-4E9BBD0B214D}">
    <xltc:text>Source: original illustrative planning assumption, Finin2min, 25 October 2026; replace with actual operating or funding evidence. Not a quotation, statutory amount or guaranteed forecast.</xltc:text>
  </xltc:threadedComment>
  <xltc:threadedComment ref="K35" dT="2026-10-25T08:29:51.779" personId="{5586D656-C9B8-4DF8-9570-3859735071E3}" id="{6358F020-2539-4B69-B634-B922A7E2A8CF}">
    <xltc:text>Source: original illustrative planning assumption, Finin2min, 25 October 2026; replace with actual operating or funding evidence. Not a quotation, statutory amount or guaranteed forecast.</xltc:text>
  </xltc:threadedComment>
  <xltc:threadedComment ref="L35" dT="2026-10-25T08:29:51.779" personId="{5586D656-C9B8-4DF8-9570-3859735071E3}" id="{82C6A5EE-7324-4C01-9D98-7531BD9F4E6F}">
    <xltc:text>Source: original illustrative planning assumption, Finin2min, 25 October 2026; replace with actual operating or funding evidence. Not a quotation, statutory amount or guaranteed forecast.</xltc:text>
  </xltc:threadedComment>
  <xltc:threadedComment ref="M35" dT="2026-10-25T08:29:51.779" personId="{5586D656-C9B8-4DF8-9570-3859735071E3}" id="{24BFAF40-B9F8-4E4A-B907-59A94827DCCF}">
    <xltc:text>Source: original illustrative planning assumption, Finin2min, 25 October 2026; replace with actual operating or funding evidence. Not a quotation, statutory amount or guaranteed forecast.</xltc:text>
  </xltc:threadedComment>
  <xltc:threadedComment ref="N35" dT="2026-10-25T08:29:51.779" personId="{5586D656-C9B8-4DF8-9570-3859735071E3}" id="{80A46DF5-C60C-4BB0-AA7A-C2236CDB04C5}">
    <xltc:text>Source: original illustrative planning assumption, Finin2min, 25 October 2026; replace with actual operating or funding evidence. Not a quotation, statutory amount or guaranteed forecast.</xltc:text>
  </xltc:threadedComment>
  <xltc:threadedComment ref="O35" dT="2026-10-25T08:29:51.779" personId="{5586D656-C9B8-4DF8-9570-3859735071E3}" id="{F09B6C0F-6B6A-4713-8808-06CAC93CBDE5}">
    <xltc:text>Source: original illustrative planning assumption, Finin2min, 25 October 2026; replace with actual operating or funding evidence. Not a quotation, statutory amount or guaranteed forecast.</xltc:text>
  </xltc:threadedComment>
  <xltc:threadedComment ref="E48" dT="2026-10-25T08:29:51.779" personId="{5586D656-C9B8-4DF8-9570-3859735071E3}" id="{1811ABEE-5194-49C3-9C92-55B59194B060}">
    <xltc:text>Source: original illustrative planning assumption, Finin2min, 25 October 2026; replace with actual operating or funding evidence. Not a quotation, statutory amount or guaranteed forecast.</xltc:text>
  </xltc:threadedComment>
  <xltc:threadedComment ref="F48" dT="2026-10-25T08:29:51.779" personId="{5586D656-C9B8-4DF8-9570-3859735071E3}" id="{313733B7-5512-423A-AF6B-5496DB4774DE}">
    <xltc:text>Source: original illustrative planning assumption, Finin2min, 25 October 2026; replace with actual operating or funding evidence. Not a quotation, statutory amount or guaranteed forecast.</xltc:text>
  </xltc:threadedComment>
  <xltc:threadedComment ref="G48" dT="2026-10-25T08:29:51.779" personId="{5586D656-C9B8-4DF8-9570-3859735071E3}" id="{2CAF08B5-1C93-496F-A0E7-2586DEE8EB37}">
    <xltc:text>Source: original illustrative planning assumption, Finin2min, 25 October 2026; replace with actual operating or funding evidence. Not a quotation, statutory amount or guaranteed forecast.</xltc:text>
  </xltc:threadedComment>
  <xltc:threadedComment ref="H48" dT="2026-10-25T08:29:51.779" personId="{5586D656-C9B8-4DF8-9570-3859735071E3}" id="{1FD62BE3-7213-4B7F-9E77-F349E4969207}">
    <xltc:text>Source: original illustrative planning assumption, Finin2min, 25 October 2026; replace with actual operating or funding evidence. Not a quotation, statutory amount or guaranteed forecast.</xltc:text>
  </xltc:threadedComment>
  <xltc:threadedComment ref="I48" dT="2026-10-25T08:29:51.779" personId="{5586D656-C9B8-4DF8-9570-3859735071E3}" id="{19CDF496-6DBF-4886-9C23-AFCB166774C4}">
    <xltc:text>Source: original illustrative planning assumption, Finin2min, 25 October 2026; replace with actual operating or funding evidence. Not a quotation, statutory amount or guaranteed forecast.</xltc:text>
  </xltc:threadedComment>
  <xltc:threadedComment ref="J48" dT="2026-10-25T08:29:51.779" personId="{5586D656-C9B8-4DF8-9570-3859735071E3}" id="{258CCF94-79F9-4CF4-9FBB-44F2F46B363E}">
    <xltc:text>Source: original illustrative planning assumption, Finin2min, 25 October 2026; replace with actual operating or funding evidence. Not a quotation, statutory amount or guaranteed forecast.</xltc:text>
  </xltc:threadedComment>
  <xltc:threadedComment ref="K48" dT="2026-10-25T08:29:51.779" personId="{5586D656-C9B8-4DF8-9570-3859735071E3}" id="{6626D136-D27C-43E2-904A-7A7F8F24CD79}">
    <xltc:text>Source: original illustrative planning assumption, Finin2min, 25 October 2026; replace with actual operating or funding evidence. Not a quotation, statutory amount or guaranteed forecast.</xltc:text>
  </xltc:threadedComment>
  <xltc:threadedComment ref="L48" dT="2026-10-25T08:29:51.779" personId="{5586D656-C9B8-4DF8-9570-3859735071E3}" id="{D9B227C0-D597-4E65-B8DA-55E5C0AE5F0A}">
    <xltc:text>Source: original illustrative planning assumption, Finin2min, 25 October 2026; replace with actual operating or funding evidence. Not a quotation, statutory amount or guaranteed forecast.</xltc:text>
  </xltc:threadedComment>
  <xltc:threadedComment ref="M48" dT="2026-10-25T08:29:51.779" personId="{5586D656-C9B8-4DF8-9570-3859735071E3}" id="{A707128F-D39B-4017-AE99-1CE3BA6D9DA5}">
    <xltc:text>Source: original illustrative planning assumption, Finin2min, 25 October 2026; replace with actual operating or funding evidence. Not a quotation, statutory amount or guaranteed forecast.</xltc:text>
  </xltc:threadedComment>
  <xltc:threadedComment ref="N48" dT="2026-10-25T08:29:51.779" personId="{5586D656-C9B8-4DF8-9570-3859735071E3}" id="{9C8B6E15-A489-4488-9DF9-E995FA814232}">
    <xltc:text>Source: original illustrative planning assumption, Finin2min, 25 October 2026; replace with actual operating or funding evidence. Not a quotation, statutory amount or guaranteed forecast.</xltc:text>
  </xltc:threadedComment>
  <xltc:threadedComment ref="O48" dT="2026-10-25T08:29:51.779" personId="{5586D656-C9B8-4DF8-9570-3859735071E3}" id="{66533727-1092-43DD-9C84-9D6DE65D62BA}">
    <xltc:text>Source: original illustrative planning assumption, Finin2min, 25 October 2026; replace with actual operating or funding evidence. Not a quotation, statutory amount or guaranteed forecast.</xltc:text>
  </xltc:threadedComment>
  <xltc:threadedComment ref="E60" dT="2026-10-25T08:29:51.779" personId="{5586D656-C9B8-4DF8-9570-3859735071E3}" id="{EAE20F17-925F-4B25-84D4-3CC9B68F493B}">
    <xltc:text>Source: original illustrative planning assumption, Finin2min, 25 October 2026; replace with actual operating or funding evidence. Zero tax cash is an unresolved input, not exemption.</xltc:text>
  </xltc:threadedComment>
  <xltc:threadedComment ref="F60" dT="2026-10-25T08:29:51.779" personId="{5586D656-C9B8-4DF8-9570-3859735071E3}" id="{6CBBDCF1-C2F4-4C95-B8DB-793BC462E875}">
    <xltc:text>Source: original illustrative planning assumption, Finin2min, 25 October 2026; replace with actual operating or funding evidence. Zero tax cash is an unresolved input, not exemption.</xltc:text>
  </xltc:threadedComment>
  <xltc:threadedComment ref="G60" dT="2026-10-25T08:29:51.779" personId="{5586D656-C9B8-4DF8-9570-3859735071E3}" id="{7BBD8967-B01B-499C-BB45-04910DC4EDBD}">
    <xltc:text>Source: original illustrative planning assumption, Finin2min, 25 October 2026; replace with actual operating or funding evidence. Zero tax cash is an unresolved input, not exemption.</xltc:text>
  </xltc:threadedComment>
  <xltc:threadedComment ref="H60" dT="2026-10-25T08:29:51.779" personId="{5586D656-C9B8-4DF8-9570-3859735071E3}" id="{08DF343A-52BD-4E29-BE9F-BC886246C662}">
    <xltc:text>Source: original illustrative planning assumption, Finin2min, 25 October 2026; replace with actual operating or funding evidence. Zero tax cash is an unresolved input, not exemption.</xltc:text>
  </xltc:threadedComment>
  <xltc:threadedComment ref="I60" dT="2026-10-25T08:29:51.779" personId="{5586D656-C9B8-4DF8-9570-3859735071E3}" id="{65163CA3-E105-4509-BA71-ACCC1DD0713E}">
    <xltc:text>Source: original illustrative planning assumption, Finin2min, 25 October 2026; replace with actual operating or funding evidence. Zero tax cash is an unresolved input, not exemption.</xltc:text>
  </xltc:threadedComment>
  <xltc:threadedComment ref="J60" dT="2026-10-25T08:29:51.779" personId="{5586D656-C9B8-4DF8-9570-3859735071E3}" id="{E9BAC63E-E31C-490B-A7F2-B2612209AA76}">
    <xltc:text>Source: original illustrative planning assumption, Finin2min, 25 October 2026; replace with actual operating or funding evidence. Zero tax cash is an unresolved input, not exemption.</xltc:text>
  </xltc:threadedComment>
  <xltc:threadedComment ref="K60" dT="2026-10-25T08:29:51.779" personId="{5586D656-C9B8-4DF8-9570-3859735071E3}" id="{18FF4922-6B7C-4A06-ABA7-C8A98648FE8E}">
    <xltc:text>Source: original illustrative planning assumption, Finin2min, 25 October 2026; replace with actual operating or funding evidence. Zero tax cash is an unresolved input, not exemption.</xltc:text>
  </xltc:threadedComment>
  <xltc:threadedComment ref="L60" dT="2026-10-25T08:29:51.779" personId="{5586D656-C9B8-4DF8-9570-3859735071E3}" id="{FDC64F5C-DDBB-4D62-BCEE-A1F5FA011AE4}">
    <xltc:text>Source: original illustrative planning assumption, Finin2min, 25 October 2026; replace with actual operating or funding evidence. Zero tax cash is an unresolved input, not exemption.</xltc:text>
  </xltc:threadedComment>
  <xltc:threadedComment ref="M60" dT="2026-10-25T08:29:51.779" personId="{5586D656-C9B8-4DF8-9570-3859735071E3}" id="{1CAEFD0E-2C59-4461-8CB1-4A865DBA155C}">
    <xltc:text>Source: original illustrative planning assumption, Finin2min, 25 October 2026; replace with actual operating or funding evidence. Zero tax cash is an unresolved input, not exemption.</xltc:text>
  </xltc:threadedComment>
  <xltc:threadedComment ref="N60" dT="2026-10-25T08:29:51.779" personId="{5586D656-C9B8-4DF8-9570-3859735071E3}" id="{17127F1C-3B9F-481C-B14C-1CBA787EF168}">
    <xltc:text>Source: original illustrative planning assumption, Finin2min, 25 October 2026; replace with actual operating or funding evidence. Zero tax cash is an unresolved input, not exemption.</xltc:text>
  </xltc:threadedComment>
  <xltc:threadedComment ref="O60" dT="2026-10-25T08:29:51.779" personId="{5586D656-C9B8-4DF8-9570-3859735071E3}" id="{93E9CFBE-EFCD-4F51-A368-042918E26FC7}">
    <xltc:text>Source: original illustrative planning assumption, Finin2min, 25 October 2026; replace with actual operating or funding evidence. Zero tax cash is an unresolved input, not exemption.</xltc:text>
  </xltc:threadedComment>
  <xltc:threadedComment ref="E61" dT="2026-10-25T08:29:51.779" personId="{5586D656-C9B8-4DF8-9570-3859735071E3}" id="{FC77A502-6571-4A52-95F7-EA6D243E8848}">
    <xltc:text>Source: original illustrative planning assumption, Finin2min, 25 October 2026; replace with actual operating or funding evidence. Not a quotation, statutory amount or guaranteed forecast.</xltc:text>
  </xltc:threadedComment>
  <xltc:threadedComment ref="F61" dT="2026-10-25T08:29:51.779" personId="{5586D656-C9B8-4DF8-9570-3859735071E3}" id="{95938941-6987-46D6-95FC-5166AB27DA30}">
    <xltc:text>Source: original illustrative planning assumption, Finin2min, 25 October 2026; replace with actual operating or funding evidence. Not a quotation, statutory amount or guaranteed forecast.</xltc:text>
  </xltc:threadedComment>
  <xltc:threadedComment ref="G61" dT="2026-10-25T08:29:51.779" personId="{5586D656-C9B8-4DF8-9570-3859735071E3}" id="{55DDB71A-5077-415F-BE18-0C3BC3AEA89D}">
    <xltc:text>Source: original illustrative planning assumption, Finin2min, 25 October 2026; replace with actual operating or funding evidence. Not a quotation, statutory amount or guaranteed forecast.</xltc:text>
  </xltc:threadedComment>
  <xltc:threadedComment ref="H61" dT="2026-10-25T08:29:51.779" personId="{5586D656-C9B8-4DF8-9570-3859735071E3}" id="{CA4BF999-31AB-481D-8CA4-3443FF72BD31}">
    <xltc:text>Source: original illustrative planning assumption, Finin2min, 25 October 2026; replace with actual operating or funding evidence. Not a quotation, statutory amount or guaranteed forecast.</xltc:text>
  </xltc:threadedComment>
  <xltc:threadedComment ref="I61" dT="2026-10-25T08:29:51.779" personId="{5586D656-C9B8-4DF8-9570-3859735071E3}" id="{AE1EA612-341D-431A-BA40-5C1C7B436034}">
    <xltc:text>Source: original illustrative planning assumption, Finin2min, 25 October 2026; replace with actual operating or funding evidence. Not a quotation, statutory amount or guaranteed forecast.</xltc:text>
  </xltc:threadedComment>
  <xltc:threadedComment ref="J61" dT="2026-10-25T08:29:51.779" personId="{5586D656-C9B8-4DF8-9570-3859735071E3}" id="{F3FABF4A-D905-4707-8F12-E68CD29B4167}">
    <xltc:text>Source: original illustrative planning assumption, Finin2min, 25 October 2026; replace with actual operating or funding evidence. Not a quotation, statutory amount or guaranteed forecast.</xltc:text>
  </xltc:threadedComment>
  <xltc:threadedComment ref="K61" dT="2026-10-25T08:29:51.779" personId="{5586D656-C9B8-4DF8-9570-3859735071E3}" id="{E462ABA0-D117-4D75-AC11-E0767FF2C855}">
    <xltc:text>Source: original illustrative planning assumption, Finin2min, 25 October 2026; replace with actual operating or funding evidence. Not a quotation, statutory amount or guaranteed forecast.</xltc:text>
  </xltc:threadedComment>
  <xltc:threadedComment ref="L61" dT="2026-10-25T08:29:51.779" personId="{5586D656-C9B8-4DF8-9570-3859735071E3}" id="{0713BF6E-F520-4384-810D-89F6EF5CEA12}">
    <xltc:text>Source: original illustrative planning assumption, Finin2min, 25 October 2026; replace with actual operating or funding evidence. Not a quotation, statutory amount or guaranteed forecast.</xltc:text>
  </xltc:threadedComment>
  <xltc:threadedComment ref="M61" dT="2026-10-25T08:29:51.779" personId="{5586D656-C9B8-4DF8-9570-3859735071E3}" id="{25073F42-5EDF-4209-903E-440362989C31}">
    <xltc:text>Source: original illustrative planning assumption, Finin2min, 25 October 2026; replace with actual operating or funding evidence. Not a quotation, statutory amount or guaranteed forecast.</xltc:text>
  </xltc:threadedComment>
  <xltc:threadedComment ref="N61" dT="2026-10-25T08:29:51.779" personId="{5586D656-C9B8-4DF8-9570-3859735071E3}" id="{E05CFCC4-D46F-4F25-B3BC-94571DBCF269}">
    <xltc:text>Source: original illustrative planning assumption, Finin2min, 25 October 2026; replace with actual operating or funding evidence. Not a quotation, statutory amount or guaranteed forecast.</xltc:text>
  </xltc:threadedComment>
  <xltc:threadedComment ref="O61" dT="2026-10-25T08:29:51.779" personId="{5586D656-C9B8-4DF8-9570-3859735071E3}" id="{70F1C457-C0BE-4B69-B71D-A5A0B1CADFC1}">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9.xml><?xml version="1.0" encoding="utf-8"?>
<xltc:ThreadedComments xmlns:xltc="http://schemas.microsoft.com/office/spreadsheetml/2018/threadedcomments">
  <xltc:threadedComment ref="D35" dT="2026-10-25T08:24:07.095" personId="{5586D656-C9B8-4DF8-9570-3859735071E3}" id="{E13FDC46-578D-45DD-8B41-44F0FB51C9CC}">
    <xltc:text>Source: original illustrative planning assumptions, Finin2min, 25 October 2026. Replace with evidence. Not a quotation, statutory calculation or guaranteed forecast.</xltc:text>
  </xltc:threadedComment>
  <xltc:threadedComment ref="D48" dT="2026-10-25T08:24:07.095" personId="{5586D656-C9B8-4DF8-9570-3859735071E3}" id="{B49EAB82-33CA-472A-BE5B-503CCE982B18}">
    <xltc:text>Source: original illustrative planning assumptions, Finin2min, 25 October 2026. Replace with evidence. Not a quotation, statutory calculation or guaranteed forecast.</xltc:text>
  </xltc:threadedComment>
  <xltc:threadedComment ref="D60" dT="2026-10-25T08:24:07.095" personId="{5586D656-C9B8-4DF8-9570-3859735071E3}" id="{7E96CCBB-527F-4BE0-95A7-7E9BE7CAE2D1}">
    <xltc:text>Source: original illustrative planning assumptions, Finin2min, 25 October 2026. Replace with evidence. Tax cash begins at zero as an unresolved input, not a statement of exemption.</xltc:text>
  </xltc:threadedComment>
  <xltc:threadedComment ref="D61" dT="2026-10-25T08:24:07.095" personId="{5586D656-C9B8-4DF8-9570-3859735071E3}" id="{5A30A57C-1A01-4DD5-A45B-E2A73AF47DAA}">
    <xltc:text>Source: original illustrative planning assumptions, Finin2min, 25 October 2026. Replace with evidence. Not a quotation, statutory calculation or guaranteed forecast.</xltc:text>
  </xltc:threadedComment>
  <xltc:threadedComment ref="B8" dT="2026-10-25T08:24:07.095" personId="{5586D656-C9B8-4DF8-9570-3859735071E3}" id="{5A9430EB-4B6B-4469-86C9-0B1761034160}">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9" dT="2026-10-25T08:24:07.095" personId="{5586D656-C9B8-4DF8-9570-3859735071E3}" id="{4E0F84C1-31FE-465F-A44C-735E020DA793}">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0" dT="2026-10-25T08:24:07.095" personId="{5586D656-C9B8-4DF8-9570-3859735071E3}" id="{ECBACEDF-AA3A-4DAC-9442-5632C12F7BBB}">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1" dT="2026-10-25T08:24:07.095" personId="{5586D656-C9B8-4DF8-9570-3859735071E3}" id="{F5B3FAA3-3BF8-4596-88BD-0EBDFCFF052F}">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2" dT="2026-10-25T08:24:07.095" personId="{5586D656-C9B8-4DF8-9570-3859735071E3}" id="{9D7A8F8D-5C9B-4580-A6A9-50A7F33F3FA0}">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3" dT="2026-10-25T08:24:07.095" personId="{5586D656-C9B8-4DF8-9570-3859735071E3}" id="{5ACDF1FC-AD8C-4E55-8648-CA788E5575B0}">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4" dT="2026-10-25T08:24:07.095" personId="{5586D656-C9B8-4DF8-9570-3859735071E3}" id="{2800C001-9BB8-478F-A217-06D7BC512173}">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5" dT="2026-10-25T08:24:07.095" personId="{5586D656-C9B8-4DF8-9570-3859735071E3}" id="{0E57719B-B9E4-4D7A-A7D9-CC4D15177CE0}">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6" dT="2026-10-25T08:24:07.095" personId="{5586D656-C9B8-4DF8-9570-3859735071E3}" id="{DD546D93-D979-4CBA-87AE-199E638AE5D0}">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7" dT="2026-10-25T08:24:07.095" personId="{5586D656-C9B8-4DF8-9570-3859735071E3}" id="{CC40D0AB-851E-47A9-9AF0-FBDB912E140B}">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8" dT="2026-10-25T08:24:07.095" personId="{5586D656-C9B8-4DF8-9570-3859735071E3}" id="{CFD4AE73-D051-4901-9883-975C70EFC826}">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19" dT="2026-10-25T08:24:07.095" personId="{5586D656-C9B8-4DF8-9570-3859735071E3}" id="{33A9744A-862C-4DB4-91CA-9ADB407B7EEC}">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0" dT="2026-10-25T08:24:07.095" personId="{5586D656-C9B8-4DF8-9570-3859735071E3}" id="{840321AA-D7EA-4F25-8424-918C0FA7718F}">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1" dT="2026-10-25T08:24:07.095" personId="{5586D656-C9B8-4DF8-9570-3859735071E3}" id="{FACA8EE1-69F1-4BDE-B9B4-433BC2C42C21}">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2" dT="2026-10-25T08:24:07.095" personId="{5586D656-C9B8-4DF8-9570-3859735071E3}" id="{0E10491F-9317-4B69-8720-8FEA1DD99F5A}">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3" dT="2026-10-25T08:24:07.095" personId="{5586D656-C9B8-4DF8-9570-3859735071E3}" id="{A9DE39A2-D075-47F4-83A3-69F73F218DF3}">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4" dT="2026-10-25T08:24:07.095" personId="{5586D656-C9B8-4DF8-9570-3859735071E3}" id="{61A51F3C-5397-47E3-9D4D-B3B5600E89A4}">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5" dT="2026-10-25T08:24:07.095" personId="{5586D656-C9B8-4DF8-9570-3859735071E3}" id="{3B8C7164-4D6B-455F-A0AD-08434F349E04}">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6" dT="2026-10-25T08:24:07.095" personId="{5586D656-C9B8-4DF8-9570-3859735071E3}" id="{7785A539-FC5E-4977-916A-552A2A52CF46}">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7" dT="2026-10-25T08:24:07.095" personId="{5586D656-C9B8-4DF8-9570-3859735071E3}" id="{BDE78601-1E03-40BD-B746-F638BCE5D37B}">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B28" dT="2026-10-25T08:24:07.095" personId="{5586D656-C9B8-4DF8-9570-3859735071E3}" id="{D366574A-AC01-40EA-A395-DDCE02DAA558}">
    <xltc:text>Source: original illustrative Medical Equipment Rental &amp; Home Mobility scenario prepared by Finin2min Editorial Desk on 25 October 2026. Not researched market prices or statutory fees. Replace with signed quotes, contracts, capacity evidence and actual operating data. Sector context: https://www.niti.gov.in/sites/default/files/2026-08/Reimagining-Care-Strategies-for-Empowering-Caregivers-in-Viksit-Bharat-2047.pdf</xltc:text>
  </xltc:threadedComment>
  <xltc:threadedComment ref="E35" dT="2026-10-25T08:29:51.779" personId="{5586D656-C9B8-4DF8-9570-3859735071E3}" id="{25BB196F-6013-493D-B83C-97EF02FCFD1D}">
    <xltc:text>Source: original illustrative planning assumption, Finin2min, 25 October 2026; replace with actual operating or funding evidence. Not a quotation, statutory amount or guaranteed forecast.</xltc:text>
  </xltc:threadedComment>
  <xltc:threadedComment ref="F35" dT="2026-10-25T08:29:51.779" personId="{5586D656-C9B8-4DF8-9570-3859735071E3}" id="{3855A4E2-3222-4E93-9C8E-F1A7AEFE8A66}">
    <xltc:text>Source: original illustrative planning assumption, Finin2min, 25 October 2026; replace with actual operating or funding evidence. Not a quotation, statutory amount or guaranteed forecast.</xltc:text>
  </xltc:threadedComment>
  <xltc:threadedComment ref="G35" dT="2026-10-25T08:29:51.779" personId="{5586D656-C9B8-4DF8-9570-3859735071E3}" id="{FADDD2A8-CF2A-4A15-8611-A3CBB9D25CC1}">
    <xltc:text>Source: original illustrative planning assumption, Finin2min, 25 October 2026; replace with actual operating or funding evidence. Not a quotation, statutory amount or guaranteed forecast.</xltc:text>
  </xltc:threadedComment>
  <xltc:threadedComment ref="H35" dT="2026-10-25T08:29:51.779" personId="{5586D656-C9B8-4DF8-9570-3859735071E3}" id="{FD7480B7-DBF5-4C43-B301-C2C102ED6D4C}">
    <xltc:text>Source: original illustrative planning assumption, Finin2min, 25 October 2026; replace with actual operating or funding evidence. Not a quotation, statutory amount or guaranteed forecast.</xltc:text>
  </xltc:threadedComment>
  <xltc:threadedComment ref="I35" dT="2026-10-25T08:29:51.779" personId="{5586D656-C9B8-4DF8-9570-3859735071E3}" id="{1037E083-1289-41A8-8368-386B67A0B5CF}">
    <xltc:text>Source: original illustrative planning assumption, Finin2min, 25 October 2026; replace with actual operating or funding evidence. Not a quotation, statutory amount or guaranteed forecast.</xltc:text>
  </xltc:threadedComment>
  <xltc:threadedComment ref="J35" dT="2026-10-25T08:29:51.779" personId="{5586D656-C9B8-4DF8-9570-3859735071E3}" id="{E4935627-8489-45C6-AA49-96B9C7B83DD8}">
    <xltc:text>Source: original illustrative planning assumption, Finin2min, 25 October 2026; replace with actual operating or funding evidence. Not a quotation, statutory amount or guaranteed forecast.</xltc:text>
  </xltc:threadedComment>
  <xltc:threadedComment ref="K35" dT="2026-10-25T08:29:51.779" personId="{5586D656-C9B8-4DF8-9570-3859735071E3}" id="{2D9AD124-268D-40B3-A7C9-0EF934169F11}">
    <xltc:text>Source: original illustrative planning assumption, Finin2min, 25 October 2026; replace with actual operating or funding evidence. Not a quotation, statutory amount or guaranteed forecast.</xltc:text>
  </xltc:threadedComment>
  <xltc:threadedComment ref="L35" dT="2026-10-25T08:29:51.779" personId="{5586D656-C9B8-4DF8-9570-3859735071E3}" id="{40066A7C-C239-4C72-994E-1248E81F33E3}">
    <xltc:text>Source: original illustrative planning assumption, Finin2min, 25 October 2026; replace with actual operating or funding evidence. Not a quotation, statutory amount or guaranteed forecast.</xltc:text>
  </xltc:threadedComment>
  <xltc:threadedComment ref="M35" dT="2026-10-25T08:29:51.779" personId="{5586D656-C9B8-4DF8-9570-3859735071E3}" id="{5DC1A7DB-9C67-48EC-BC00-A749F576ABAA}">
    <xltc:text>Source: original illustrative planning assumption, Finin2min, 25 October 2026; replace with actual operating or funding evidence. Not a quotation, statutory amount or guaranteed forecast.</xltc:text>
  </xltc:threadedComment>
  <xltc:threadedComment ref="N35" dT="2026-10-25T08:29:51.779" personId="{5586D656-C9B8-4DF8-9570-3859735071E3}" id="{1BE99B03-50B7-41D9-9948-7160D616A6DD}">
    <xltc:text>Source: original illustrative planning assumption, Finin2min, 25 October 2026; replace with actual operating or funding evidence. Not a quotation, statutory amount or guaranteed forecast.</xltc:text>
  </xltc:threadedComment>
  <xltc:threadedComment ref="O35" dT="2026-10-25T08:29:51.779" personId="{5586D656-C9B8-4DF8-9570-3859735071E3}" id="{36750BED-657B-4BCA-B776-220C1A477148}">
    <xltc:text>Source: original illustrative planning assumption, Finin2min, 25 October 2026; replace with actual operating or funding evidence. Not a quotation, statutory amount or guaranteed forecast.</xltc:text>
  </xltc:threadedComment>
  <xltc:threadedComment ref="E48" dT="2026-10-25T08:29:51.779" personId="{5586D656-C9B8-4DF8-9570-3859735071E3}" id="{56AC080E-ADA9-43CD-A2DB-04F381B8A1BB}">
    <xltc:text>Source: original illustrative planning assumption, Finin2min, 25 October 2026; replace with actual operating or funding evidence. Not a quotation, statutory amount or guaranteed forecast.</xltc:text>
  </xltc:threadedComment>
  <xltc:threadedComment ref="F48" dT="2026-10-25T08:29:51.779" personId="{5586D656-C9B8-4DF8-9570-3859735071E3}" id="{6A4D3BF6-5584-4A7E-AE04-BF4C374F42F6}">
    <xltc:text>Source: original illustrative planning assumption, Finin2min, 25 October 2026; replace with actual operating or funding evidence. Not a quotation, statutory amount or guaranteed forecast.</xltc:text>
  </xltc:threadedComment>
  <xltc:threadedComment ref="G48" dT="2026-10-25T08:29:51.779" personId="{5586D656-C9B8-4DF8-9570-3859735071E3}" id="{5D7457D9-C61E-4678-A383-3621B6764743}">
    <xltc:text>Source: original illustrative planning assumption, Finin2min, 25 October 2026; replace with actual operating or funding evidence. Not a quotation, statutory amount or guaranteed forecast.</xltc:text>
  </xltc:threadedComment>
  <xltc:threadedComment ref="H48" dT="2026-10-25T08:29:51.779" personId="{5586D656-C9B8-4DF8-9570-3859735071E3}" id="{D6F12979-2CAD-4A97-A226-E09F9A3BCE38}">
    <xltc:text>Source: original illustrative planning assumption, Finin2min, 25 October 2026; replace with actual operating or funding evidence. Not a quotation, statutory amount or guaranteed forecast.</xltc:text>
  </xltc:threadedComment>
  <xltc:threadedComment ref="I48" dT="2026-10-25T08:29:51.779" personId="{5586D656-C9B8-4DF8-9570-3859735071E3}" id="{29AACEE3-DE37-47A5-A79B-E2C42ECB173D}">
    <xltc:text>Source: original illustrative planning assumption, Finin2min, 25 October 2026; replace with actual operating or funding evidence. Not a quotation, statutory amount or guaranteed forecast.</xltc:text>
  </xltc:threadedComment>
  <xltc:threadedComment ref="J48" dT="2026-10-25T08:29:51.779" personId="{5586D656-C9B8-4DF8-9570-3859735071E3}" id="{1914B75B-91F4-492C-8A98-8636F46104B7}">
    <xltc:text>Source: original illustrative planning assumption, Finin2min, 25 October 2026; replace with actual operating or funding evidence. Not a quotation, statutory amount or guaranteed forecast.</xltc:text>
  </xltc:threadedComment>
  <xltc:threadedComment ref="K48" dT="2026-10-25T08:29:51.779" personId="{5586D656-C9B8-4DF8-9570-3859735071E3}" id="{FAF5068A-24D0-4882-B77E-B6F0A43EA8C0}">
    <xltc:text>Source: original illustrative planning assumption, Finin2min, 25 October 2026; replace with actual operating or funding evidence. Not a quotation, statutory amount or guaranteed forecast.</xltc:text>
  </xltc:threadedComment>
  <xltc:threadedComment ref="L48" dT="2026-10-25T08:29:51.779" personId="{5586D656-C9B8-4DF8-9570-3859735071E3}" id="{BD0301A5-834C-48EE-BAB4-C3331DAD3D4F}">
    <xltc:text>Source: original illustrative planning assumption, Finin2min, 25 October 2026; replace with actual operating or funding evidence. Not a quotation, statutory amount or guaranteed forecast.</xltc:text>
  </xltc:threadedComment>
  <xltc:threadedComment ref="M48" dT="2026-10-25T08:29:51.779" personId="{5586D656-C9B8-4DF8-9570-3859735071E3}" id="{B2A818AF-A5A0-4394-B22E-2FAA410E0C85}">
    <xltc:text>Source: original illustrative planning assumption, Finin2min, 25 October 2026; replace with actual operating or funding evidence. Not a quotation, statutory amount or guaranteed forecast.</xltc:text>
  </xltc:threadedComment>
  <xltc:threadedComment ref="N48" dT="2026-10-25T08:29:51.779" personId="{5586D656-C9B8-4DF8-9570-3859735071E3}" id="{76513F01-F539-4ABF-A6E7-05C7456A9932}">
    <xltc:text>Source: original illustrative planning assumption, Finin2min, 25 October 2026; replace with actual operating or funding evidence. Not a quotation, statutory amount or guaranteed forecast.</xltc:text>
  </xltc:threadedComment>
  <xltc:threadedComment ref="O48" dT="2026-10-25T08:29:51.779" personId="{5586D656-C9B8-4DF8-9570-3859735071E3}" id="{77D855F3-5199-423D-89F7-862A1361E0DC}">
    <xltc:text>Source: original illustrative planning assumption, Finin2min, 25 October 2026; replace with actual operating or funding evidence. Not a quotation, statutory amount or guaranteed forecast.</xltc:text>
  </xltc:threadedComment>
  <xltc:threadedComment ref="E60" dT="2026-10-25T08:29:51.779" personId="{5586D656-C9B8-4DF8-9570-3859735071E3}" id="{D55A87CD-9472-4AB8-9793-90D6E5EAFE0D}">
    <xltc:text>Source: original illustrative planning assumption, Finin2min, 25 October 2026; replace with actual operating or funding evidence. Zero tax cash is an unresolved input, not exemption.</xltc:text>
  </xltc:threadedComment>
  <xltc:threadedComment ref="F60" dT="2026-10-25T08:29:51.779" personId="{5586D656-C9B8-4DF8-9570-3859735071E3}" id="{4676E72E-E77E-4EA4-8D11-F55C063898DF}">
    <xltc:text>Source: original illustrative planning assumption, Finin2min, 25 October 2026; replace with actual operating or funding evidence. Zero tax cash is an unresolved input, not exemption.</xltc:text>
  </xltc:threadedComment>
  <xltc:threadedComment ref="G60" dT="2026-10-25T08:29:51.779" personId="{5586D656-C9B8-4DF8-9570-3859735071E3}" id="{111C2214-B179-43C7-A72C-DFDF07FD4B48}">
    <xltc:text>Source: original illustrative planning assumption, Finin2min, 25 October 2026; replace with actual operating or funding evidence. Zero tax cash is an unresolved input, not exemption.</xltc:text>
  </xltc:threadedComment>
  <xltc:threadedComment ref="H60" dT="2026-10-25T08:29:51.779" personId="{5586D656-C9B8-4DF8-9570-3859735071E3}" id="{619A2BE7-5AB1-469C-BAD1-F2B0323A3109}">
    <xltc:text>Source: original illustrative planning assumption, Finin2min, 25 October 2026; replace with actual operating or funding evidence. Zero tax cash is an unresolved input, not exemption.</xltc:text>
  </xltc:threadedComment>
  <xltc:threadedComment ref="I60" dT="2026-10-25T08:29:51.779" personId="{5586D656-C9B8-4DF8-9570-3859735071E3}" id="{01BFBD9A-E2B3-4C18-AC21-458BCA9AA04B}">
    <xltc:text>Source: original illustrative planning assumption, Finin2min, 25 October 2026; replace with actual operating or funding evidence. Zero tax cash is an unresolved input, not exemption.</xltc:text>
  </xltc:threadedComment>
  <xltc:threadedComment ref="J60" dT="2026-10-25T08:29:51.779" personId="{5586D656-C9B8-4DF8-9570-3859735071E3}" id="{5322CBAA-3A14-43DA-A658-84DE8A470F21}">
    <xltc:text>Source: original illustrative planning assumption, Finin2min, 25 October 2026; replace with actual operating or funding evidence. Zero tax cash is an unresolved input, not exemption.</xltc:text>
  </xltc:threadedComment>
  <xltc:threadedComment ref="K60" dT="2026-10-25T08:29:51.779" personId="{5586D656-C9B8-4DF8-9570-3859735071E3}" id="{83D4FB95-EDA8-4DC2-86C5-A8726BCA3C86}">
    <xltc:text>Source: original illustrative planning assumption, Finin2min, 25 October 2026; replace with actual operating or funding evidence. Zero tax cash is an unresolved input, not exemption.</xltc:text>
  </xltc:threadedComment>
  <xltc:threadedComment ref="L60" dT="2026-10-25T08:29:51.779" personId="{5586D656-C9B8-4DF8-9570-3859735071E3}" id="{927EECE7-02E1-4C7D-B68E-A73D2C8A45E9}">
    <xltc:text>Source: original illustrative planning assumption, Finin2min, 25 October 2026; replace with actual operating or funding evidence. Zero tax cash is an unresolved input, not exemption.</xltc:text>
  </xltc:threadedComment>
  <xltc:threadedComment ref="M60" dT="2026-10-25T08:29:51.779" personId="{5586D656-C9B8-4DF8-9570-3859735071E3}" id="{3CFED6AD-C801-4D16-BBE6-72EB12627341}">
    <xltc:text>Source: original illustrative planning assumption, Finin2min, 25 October 2026; replace with actual operating or funding evidence. Zero tax cash is an unresolved input, not exemption.</xltc:text>
  </xltc:threadedComment>
  <xltc:threadedComment ref="N60" dT="2026-10-25T08:29:51.779" personId="{5586D656-C9B8-4DF8-9570-3859735071E3}" id="{C5500B89-3607-4E11-87FD-92BE50F43171}">
    <xltc:text>Source: original illustrative planning assumption, Finin2min, 25 October 2026; replace with actual operating or funding evidence. Zero tax cash is an unresolved input, not exemption.</xltc:text>
  </xltc:threadedComment>
  <xltc:threadedComment ref="O60" dT="2026-10-25T08:29:51.779" personId="{5586D656-C9B8-4DF8-9570-3859735071E3}" id="{24F0A34E-3F97-4C04-9C2C-BB9C5E912573}">
    <xltc:text>Source: original illustrative planning assumption, Finin2min, 25 October 2026; replace with actual operating or funding evidence. Zero tax cash is an unresolved input, not exemption.</xltc:text>
  </xltc:threadedComment>
  <xltc:threadedComment ref="E61" dT="2026-10-25T08:29:51.779" personId="{5586D656-C9B8-4DF8-9570-3859735071E3}" id="{DBA9B022-FDD6-4E06-9B3E-C1BADF94FA12}">
    <xltc:text>Source: original illustrative planning assumption, Finin2min, 25 October 2026; replace with actual operating or funding evidence. Not a quotation, statutory amount or guaranteed forecast.</xltc:text>
  </xltc:threadedComment>
  <xltc:threadedComment ref="F61" dT="2026-10-25T08:29:51.779" personId="{5586D656-C9B8-4DF8-9570-3859735071E3}" id="{8BB473AA-854B-47EC-9A48-910DD42A4643}">
    <xltc:text>Source: original illustrative planning assumption, Finin2min, 25 October 2026; replace with actual operating or funding evidence. Not a quotation, statutory amount or guaranteed forecast.</xltc:text>
  </xltc:threadedComment>
  <xltc:threadedComment ref="G61" dT="2026-10-25T08:29:51.779" personId="{5586D656-C9B8-4DF8-9570-3859735071E3}" id="{CCC6118C-6795-41C9-95B1-805B7C5C60F0}">
    <xltc:text>Source: original illustrative planning assumption, Finin2min, 25 October 2026; replace with actual operating or funding evidence. Not a quotation, statutory amount or guaranteed forecast.</xltc:text>
  </xltc:threadedComment>
  <xltc:threadedComment ref="H61" dT="2026-10-25T08:29:51.779" personId="{5586D656-C9B8-4DF8-9570-3859735071E3}" id="{8D321960-A16C-41D1-B68C-008066C68653}">
    <xltc:text>Source: original illustrative planning assumption, Finin2min, 25 October 2026; replace with actual operating or funding evidence. Not a quotation, statutory amount or guaranteed forecast.</xltc:text>
  </xltc:threadedComment>
  <xltc:threadedComment ref="I61" dT="2026-10-25T08:29:51.779" personId="{5586D656-C9B8-4DF8-9570-3859735071E3}" id="{1EE9547F-C8EA-4412-80AA-2C82023D01BA}">
    <xltc:text>Source: original illustrative planning assumption, Finin2min, 25 October 2026; replace with actual operating or funding evidence. Not a quotation, statutory amount or guaranteed forecast.</xltc:text>
  </xltc:threadedComment>
  <xltc:threadedComment ref="J61" dT="2026-10-25T08:29:51.779" personId="{5586D656-C9B8-4DF8-9570-3859735071E3}" id="{AF40AFE4-1CBA-4F16-BDE2-60E5CA2E3502}">
    <xltc:text>Source: original illustrative planning assumption, Finin2min, 25 October 2026; replace with actual operating or funding evidence. Not a quotation, statutory amount or guaranteed forecast.</xltc:text>
  </xltc:threadedComment>
  <xltc:threadedComment ref="K61" dT="2026-10-25T08:29:51.779" personId="{5586D656-C9B8-4DF8-9570-3859735071E3}" id="{14A562BD-0FEE-4043-861D-D74B40A79B76}">
    <xltc:text>Source: original illustrative planning assumption, Finin2min, 25 October 2026; replace with actual operating or funding evidence. Not a quotation, statutory amount or guaranteed forecast.</xltc:text>
  </xltc:threadedComment>
  <xltc:threadedComment ref="L61" dT="2026-10-25T08:29:51.779" personId="{5586D656-C9B8-4DF8-9570-3859735071E3}" id="{73FA2B70-3ABA-4184-B6D5-D3943EDFC744}">
    <xltc:text>Source: original illustrative planning assumption, Finin2min, 25 October 2026; replace with actual operating or funding evidence. Not a quotation, statutory amount or guaranteed forecast.</xltc:text>
  </xltc:threadedComment>
  <xltc:threadedComment ref="M61" dT="2026-10-25T08:29:51.779" personId="{5586D656-C9B8-4DF8-9570-3859735071E3}" id="{44A1322E-EA04-4C1A-8636-945CD97739B9}">
    <xltc:text>Source: original illustrative planning assumption, Finin2min, 25 October 2026; replace with actual operating or funding evidence. Not a quotation, statutory amount or guaranteed forecast.</xltc:text>
  </xltc:threadedComment>
  <xltc:threadedComment ref="N61" dT="2026-10-25T08:29:51.779" personId="{5586D656-C9B8-4DF8-9570-3859735071E3}" id="{BE5B830A-1209-4CC5-BC3D-41103E3C39C8}">
    <xltc:text>Source: original illustrative planning assumption, Finin2min, 25 October 2026; replace with actual operating or funding evidence. Not a quotation, statutory amount or guaranteed forecast.</xltc:text>
  </xltc:threadedComment>
  <xltc:threadedComment ref="O61" dT="2026-10-25T08:29:51.779" personId="{5586D656-C9B8-4DF8-9570-3859735071E3}" id="{55706CFA-3E6D-4FD3-9423-4965B63B5737}">
    <xltc:text>Source: original illustrative planning assumption, Finin2min, 25 October 2026; replace with actual operating or funding evidence. Not a quotation, statutory amount or guaranteed forecast.</xltc:text>
  </xltc:threadedComment>
</xltc:ThreadedComments>
</file>

<file path=xl/threadedcomments/threadedcomment10.xml><?xml version="1.0" encoding="utf-8"?>
<xltc:ThreadedComments xmlns:xltc="http://schemas.microsoft.com/office/spreadsheetml/2018/threadedcomments">
  <xltc:threadedComment ref="D35" dT="2026-10-25T08:24:07.095" personId="{5586D656-C9B8-4DF8-9570-3859735071E3}" id="{B352FF81-C4A6-4491-8E73-8EF00C9B0E30}">
    <xltc:text>Source: original illustrative planning assumptions, Finin2min, 25 October 2026. Replace with evidence. Not a quotation, statutory calculation or guaranteed forecast.</xltc:text>
  </xltc:threadedComment>
  <xltc:threadedComment ref="D48" dT="2026-10-25T08:24:07.095" personId="{5586D656-C9B8-4DF8-9570-3859735071E3}" id="{A288CD36-2AD1-4C34-AB3F-3C947C12BBB1}">
    <xltc:text>Source: original illustrative planning assumptions, Finin2min, 25 October 2026. Replace with evidence. Not a quotation, statutory calculation or guaranteed forecast.</xltc:text>
  </xltc:threadedComment>
  <xltc:threadedComment ref="D60" dT="2026-10-25T08:24:07.095" personId="{5586D656-C9B8-4DF8-9570-3859735071E3}" id="{A941E692-62ED-4A06-8550-E91FAA2CB509}">
    <xltc:text>Source: original illustrative planning assumptions, Finin2min, 25 October 2026. Replace with evidence. Tax cash begins at zero as an unresolved input, not a statement of exemption.</xltc:text>
  </xltc:threadedComment>
  <xltc:threadedComment ref="D61" dT="2026-10-25T08:24:07.095" personId="{5586D656-C9B8-4DF8-9570-3859735071E3}" id="{C4943CC3-96C5-4227-A620-BBA4B3B877C3}">
    <xltc:text>Source: original illustrative planning assumptions, Finin2min, 25 October 2026. Replace with evidence. Not a quotation, statutory calculation or guaranteed forecast.</xltc:text>
  </xltc:threadedComment>
  <xltc:threadedComment ref="B8" dT="2026-10-25T08:24:07.095" personId="{5586D656-C9B8-4DF8-9570-3859735071E3}" id="{CD887288-A99E-4C2C-8791-1E7F89750E5D}">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9" dT="2026-10-25T08:24:07.095" personId="{5586D656-C9B8-4DF8-9570-3859735071E3}" id="{F5487B70-859F-44C1-9B6B-3B080DDB156D}">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0" dT="2026-10-25T08:24:07.095" personId="{5586D656-C9B8-4DF8-9570-3859735071E3}" id="{B6EBD9F0-CAB1-4CC5-95B6-6761FCB5CDD8}">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1" dT="2026-10-25T08:24:07.095" personId="{5586D656-C9B8-4DF8-9570-3859735071E3}" id="{C964CE45-B34A-43B9-9684-3139650EB37A}">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2" dT="2026-10-25T08:24:07.095" personId="{5586D656-C9B8-4DF8-9570-3859735071E3}" id="{A8AEAE8F-6722-4BC6-B2BE-56EDFE4D698D}">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3" dT="2026-10-25T08:24:07.095" personId="{5586D656-C9B8-4DF8-9570-3859735071E3}" id="{A0F062AE-55EA-4E3F-A556-B39A89D8EBBC}">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4" dT="2026-10-25T08:24:07.095" personId="{5586D656-C9B8-4DF8-9570-3859735071E3}" id="{774C1883-0EB9-4CE3-859D-58F8911D647C}">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5" dT="2026-10-25T08:24:07.095" personId="{5586D656-C9B8-4DF8-9570-3859735071E3}" id="{1CFA83D0-C941-4F6E-8385-8A3C3C0FC8C2}">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6" dT="2026-10-25T08:24:07.095" personId="{5586D656-C9B8-4DF8-9570-3859735071E3}" id="{3E99A4BC-B561-4F2F-8767-8E0A23576BCE}">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7" dT="2026-10-25T08:24:07.095" personId="{5586D656-C9B8-4DF8-9570-3859735071E3}" id="{2137508A-72DA-4F77-8A17-A86A70E5537E}">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8" dT="2026-10-25T08:24:07.095" personId="{5586D656-C9B8-4DF8-9570-3859735071E3}" id="{D7D6ACAF-15DF-4382-8346-5332AB1D2247}">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19" dT="2026-10-25T08:24:07.095" personId="{5586D656-C9B8-4DF8-9570-3859735071E3}" id="{7626F576-95E5-4D54-9026-91E59EEE8CA5}">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0" dT="2026-10-25T08:24:07.095" personId="{5586D656-C9B8-4DF8-9570-3859735071E3}" id="{4B196B32-47E9-4BA6-AAED-A481D0C0914E}">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1" dT="2026-10-25T08:24:07.095" personId="{5586D656-C9B8-4DF8-9570-3859735071E3}" id="{21BCDAA9-E773-4C69-A1C5-0F515C9FD556}">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2" dT="2026-10-25T08:24:07.095" personId="{5586D656-C9B8-4DF8-9570-3859735071E3}" id="{463303DB-2465-45B9-BB8C-35A68861A793}">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3" dT="2026-10-25T08:24:07.095" personId="{5586D656-C9B8-4DF8-9570-3859735071E3}" id="{0BEC018D-9C4D-4C27-90F9-A8854FDD0CF7}">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4" dT="2026-10-25T08:24:07.095" personId="{5586D656-C9B8-4DF8-9570-3859735071E3}" id="{DC6CD4AE-5B0B-4ABB-971B-A45F604FE4DD}">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5" dT="2026-10-25T08:24:07.095" personId="{5586D656-C9B8-4DF8-9570-3859735071E3}" id="{06853FC6-DDE4-4AA8-8070-C0E00A279848}">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6" dT="2026-10-25T08:24:07.095" personId="{5586D656-C9B8-4DF8-9570-3859735071E3}" id="{AEA61262-DC16-4373-96EF-36563C97751F}">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7" dT="2026-10-25T08:24:07.096" personId="{5586D656-C9B8-4DF8-9570-3859735071E3}" id="{67D18637-3D89-4F5A-83BD-225224896C05}">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B28" dT="2026-10-25T08:24:07.096" personId="{5586D656-C9B8-4DF8-9570-3859735071E3}" id="{19EC6B1F-4C2B-4180-9443-CF9BDDA38841}">
    <xltc:text>Source: original illustrative EV Two-wheeler Service &amp; Diagnostics Workshop scenario prepared by Finin2min Editorial Desk on 25 October 2026. Not researched market prices or statutory fees. Replace with signed quotes, contracts, capacity evidence and actual operating data. Sector context: https://pmedrive.heavyindustries.gov.in/</xltc:text>
  </xltc:threadedComment>
  <xltc:threadedComment ref="E35" dT="2026-10-25T08:29:51.779" personId="{5586D656-C9B8-4DF8-9570-3859735071E3}" id="{5FB71773-79C0-4A36-9F17-22869D73E4E6}">
    <xltc:text>Source: original illustrative planning assumption, Finin2min, 25 October 2026; replace with actual operating or funding evidence. Not a quotation, statutory amount or guaranteed forecast.</xltc:text>
  </xltc:threadedComment>
  <xltc:threadedComment ref="F35" dT="2026-10-25T08:29:51.779" personId="{5586D656-C9B8-4DF8-9570-3859735071E3}" id="{0F756AAE-B81B-4010-8926-7368F5EC84FB}">
    <xltc:text>Source: original illustrative planning assumption, Finin2min, 25 October 2026; replace with actual operating or funding evidence. Not a quotation, statutory amount or guaranteed forecast.</xltc:text>
  </xltc:threadedComment>
  <xltc:threadedComment ref="G35" dT="2026-10-25T08:29:51.779" personId="{5586D656-C9B8-4DF8-9570-3859735071E3}" id="{7F15B887-8687-49A2-82F5-CF440B543F18}">
    <xltc:text>Source: original illustrative planning assumption, Finin2min, 25 October 2026; replace with actual operating or funding evidence. Not a quotation, statutory amount or guaranteed forecast.</xltc:text>
  </xltc:threadedComment>
  <xltc:threadedComment ref="H35" dT="2026-10-25T08:29:51.779" personId="{5586D656-C9B8-4DF8-9570-3859735071E3}" id="{E1BD358C-3179-4C47-85E1-5387479FF1F6}">
    <xltc:text>Source: original illustrative planning assumption, Finin2min, 25 October 2026; replace with actual operating or funding evidence. Not a quotation, statutory amount or guaranteed forecast.</xltc:text>
  </xltc:threadedComment>
  <xltc:threadedComment ref="I35" dT="2026-10-25T08:29:51.779" personId="{5586D656-C9B8-4DF8-9570-3859735071E3}" id="{F24B6DF1-E0AA-46BC-9C41-170513932A96}">
    <xltc:text>Source: original illustrative planning assumption, Finin2min, 25 October 2026; replace with actual operating or funding evidence. Not a quotation, statutory amount or guaranteed forecast.</xltc:text>
  </xltc:threadedComment>
  <xltc:threadedComment ref="J35" dT="2026-10-25T08:29:51.779" personId="{5586D656-C9B8-4DF8-9570-3859735071E3}" id="{A262F72C-AA49-4515-B443-FDDA1146A508}">
    <xltc:text>Source: original illustrative planning assumption, Finin2min, 25 October 2026; replace with actual operating or funding evidence. Not a quotation, statutory amount or guaranteed forecast.</xltc:text>
  </xltc:threadedComment>
  <xltc:threadedComment ref="K35" dT="2026-10-25T08:29:51.779" personId="{5586D656-C9B8-4DF8-9570-3859735071E3}" id="{3C1D268C-E451-49F0-AC83-B0FE07E61370}">
    <xltc:text>Source: original illustrative planning assumption, Finin2min, 25 October 2026; replace with actual operating or funding evidence. Not a quotation, statutory amount or guaranteed forecast.</xltc:text>
  </xltc:threadedComment>
  <xltc:threadedComment ref="L35" dT="2026-10-25T08:29:51.779" personId="{5586D656-C9B8-4DF8-9570-3859735071E3}" id="{6974DBA7-B054-49F7-999E-D1AC95F3F4FE}">
    <xltc:text>Source: original illustrative planning assumption, Finin2min, 25 October 2026; replace with actual operating or funding evidence. Not a quotation, statutory amount or guaranteed forecast.</xltc:text>
  </xltc:threadedComment>
  <xltc:threadedComment ref="M35" dT="2026-10-25T08:29:51.779" personId="{5586D656-C9B8-4DF8-9570-3859735071E3}" id="{1F4C215D-168B-4C06-9BCD-A04A2C30A517}">
    <xltc:text>Source: original illustrative planning assumption, Finin2min, 25 October 2026; replace with actual operating or funding evidence. Not a quotation, statutory amount or guaranteed forecast.</xltc:text>
  </xltc:threadedComment>
  <xltc:threadedComment ref="N35" dT="2026-10-25T08:29:51.779" personId="{5586D656-C9B8-4DF8-9570-3859735071E3}" id="{1334A65A-CAD3-4110-BA25-C6945CAED000}">
    <xltc:text>Source: original illustrative planning assumption, Finin2min, 25 October 2026; replace with actual operating or funding evidence. Not a quotation, statutory amount or guaranteed forecast.</xltc:text>
  </xltc:threadedComment>
  <xltc:threadedComment ref="O35" dT="2026-10-25T08:29:51.779" personId="{5586D656-C9B8-4DF8-9570-3859735071E3}" id="{BAD820B0-2CBE-489E-AE91-BBB54EECA45A}">
    <xltc:text>Source: original illustrative planning assumption, Finin2min, 25 October 2026; replace with actual operating or funding evidence. Not a quotation, statutory amount or guaranteed forecast.</xltc:text>
  </xltc:threadedComment>
  <xltc:threadedComment ref="E48" dT="2026-10-25T08:29:51.779" personId="{5586D656-C9B8-4DF8-9570-3859735071E3}" id="{BCF37289-F3F4-4FE0-9956-90CF7B61198F}">
    <xltc:text>Source: original illustrative planning assumption, Finin2min, 25 October 2026; replace with actual operating or funding evidence. Not a quotation, statutory amount or guaranteed forecast.</xltc:text>
  </xltc:threadedComment>
  <xltc:threadedComment ref="F48" dT="2026-10-25T08:29:51.78" personId="{5586D656-C9B8-4DF8-9570-3859735071E3}" id="{951DD68D-62A9-4F7C-9095-943835ECE335}">
    <xltc:text>Source: original illustrative planning assumption, Finin2min, 25 October 2026; replace with actual operating or funding evidence. Not a quotation, statutory amount or guaranteed forecast.</xltc:text>
  </xltc:threadedComment>
  <xltc:threadedComment ref="G48" dT="2026-10-25T08:29:51.78" personId="{5586D656-C9B8-4DF8-9570-3859735071E3}" id="{05B1A4F8-C35B-417B-B539-350FD122EE9B}">
    <xltc:text>Source: original illustrative planning assumption, Finin2min, 25 October 2026; replace with actual operating or funding evidence. Not a quotation, statutory amount or guaranteed forecast.</xltc:text>
  </xltc:threadedComment>
  <xltc:threadedComment ref="H48" dT="2026-10-25T08:29:51.78" personId="{5586D656-C9B8-4DF8-9570-3859735071E3}" id="{7C79EF22-A34E-4AA8-B3A4-402A288A3647}">
    <xltc:text>Source: original illustrative planning assumption, Finin2min, 25 October 2026; replace with actual operating or funding evidence. Not a quotation, statutory amount or guaranteed forecast.</xltc:text>
  </xltc:threadedComment>
  <xltc:threadedComment ref="I48" dT="2026-10-25T08:29:51.78" personId="{5586D656-C9B8-4DF8-9570-3859735071E3}" id="{D483402E-D82F-4DD4-B4E1-03FFBFCCFE84}">
    <xltc:text>Source: original illustrative planning assumption, Finin2min, 25 October 2026; replace with actual operating or funding evidence. Not a quotation, statutory amount or guaranteed forecast.</xltc:text>
  </xltc:threadedComment>
  <xltc:threadedComment ref="J48" dT="2026-10-25T08:29:51.78" personId="{5586D656-C9B8-4DF8-9570-3859735071E3}" id="{7E4595D6-F3DE-4DF9-A48D-C28F7995F93F}">
    <xltc:text>Source: original illustrative planning assumption, Finin2min, 25 October 2026; replace with actual operating or funding evidence. Not a quotation, statutory amount or guaranteed forecast.</xltc:text>
  </xltc:threadedComment>
  <xltc:threadedComment ref="K48" dT="2026-10-25T08:29:51.78" personId="{5586D656-C9B8-4DF8-9570-3859735071E3}" id="{52712200-098D-4077-A1B1-A5FF1B307FAB}">
    <xltc:text>Source: original illustrative planning assumption, Finin2min, 25 October 2026; replace with actual operating or funding evidence. Not a quotation, statutory amount or guaranteed forecast.</xltc:text>
  </xltc:threadedComment>
  <xltc:threadedComment ref="L48" dT="2026-10-25T08:29:51.78" personId="{5586D656-C9B8-4DF8-9570-3859735071E3}" id="{BAEE4CD1-9E96-4B5A-9283-82C1C92949BC}">
    <xltc:text>Source: original illustrative planning assumption, Finin2min, 25 October 2026; replace with actual operating or funding evidence. Not a quotation, statutory amount or guaranteed forecast.</xltc:text>
  </xltc:threadedComment>
  <xltc:threadedComment ref="M48" dT="2026-10-25T08:29:51.78" personId="{5586D656-C9B8-4DF8-9570-3859735071E3}" id="{AA02D2B7-7A1A-41BE-B9D6-D3E2161E010A}">
    <xltc:text>Source: original illustrative planning assumption, Finin2min, 25 October 2026; replace with actual operating or funding evidence. Not a quotation, statutory amount or guaranteed forecast.</xltc:text>
  </xltc:threadedComment>
  <xltc:threadedComment ref="N48" dT="2026-10-25T08:29:51.78" personId="{5586D656-C9B8-4DF8-9570-3859735071E3}" id="{7049DC88-DD2A-4E1E-9FB6-BEF428768230}">
    <xltc:text>Source: original illustrative planning assumption, Finin2min, 25 October 2026; replace with actual operating or funding evidence. Not a quotation, statutory amount or guaranteed forecast.</xltc:text>
  </xltc:threadedComment>
  <xltc:threadedComment ref="O48" dT="2026-10-25T08:29:51.78" personId="{5586D656-C9B8-4DF8-9570-3859735071E3}" id="{13A8CD60-0713-49CA-BF2C-B4199AF291B6}">
    <xltc:text>Source: original illustrative planning assumption, Finin2min, 25 October 2026; replace with actual operating or funding evidence. Not a quotation, statutory amount or guaranteed forecast.</xltc:text>
  </xltc:threadedComment>
  <xltc:threadedComment ref="E60" dT="2026-10-25T08:29:51.78" personId="{5586D656-C9B8-4DF8-9570-3859735071E3}" id="{F27F0064-F295-42C8-9F59-1AB27B66813D}">
    <xltc:text>Source: original illustrative planning assumption, Finin2min, 25 October 2026; replace with actual operating or funding evidence. Zero tax cash is an unresolved input, not exemption.</xltc:text>
  </xltc:threadedComment>
  <xltc:threadedComment ref="F60" dT="2026-10-25T08:29:51.78" personId="{5586D656-C9B8-4DF8-9570-3859735071E3}" id="{82058BBB-0041-44E6-BB4B-AA045406BB5F}">
    <xltc:text>Source: original illustrative planning assumption, Finin2min, 25 October 2026; replace with actual operating or funding evidence. Zero tax cash is an unresolved input, not exemption.</xltc:text>
  </xltc:threadedComment>
  <xltc:threadedComment ref="G60" dT="2026-10-25T08:29:51.78" personId="{5586D656-C9B8-4DF8-9570-3859735071E3}" id="{5CF3A4E9-801D-40A7-9E6E-33C6F85ECD29}">
    <xltc:text>Source: original illustrative planning assumption, Finin2min, 25 October 2026; replace with actual operating or funding evidence. Zero tax cash is an unresolved input, not exemption.</xltc:text>
  </xltc:threadedComment>
  <xltc:threadedComment ref="H60" dT="2026-10-25T08:29:51.78" personId="{5586D656-C9B8-4DF8-9570-3859735071E3}" id="{88DBDDF9-240D-4711-8ADA-FB5351115549}">
    <xltc:text>Source: original illustrative planning assumption, Finin2min, 25 October 2026; replace with actual operating or funding evidence. Zero tax cash is an unresolved input, not exemption.</xltc:text>
  </xltc:threadedComment>
  <xltc:threadedComment ref="I60" dT="2026-10-25T08:29:51.78" personId="{5586D656-C9B8-4DF8-9570-3859735071E3}" id="{916C9FFC-E518-4280-A1DD-ACB0FB24AE47}">
    <xltc:text>Source: original illustrative planning assumption, Finin2min, 25 October 2026; replace with actual operating or funding evidence. Zero tax cash is an unresolved input, not exemption.</xltc:text>
  </xltc:threadedComment>
  <xltc:threadedComment ref="J60" dT="2026-10-25T08:29:51.78" personId="{5586D656-C9B8-4DF8-9570-3859735071E3}" id="{D7863A5A-6C87-4600-974A-527E16FC384A}">
    <xltc:text>Source: original illustrative planning assumption, Finin2min, 25 October 2026; replace with actual operating or funding evidence. Zero tax cash is an unresolved input, not exemption.</xltc:text>
  </xltc:threadedComment>
  <xltc:threadedComment ref="K60" dT="2026-10-25T08:29:51.78" personId="{5586D656-C9B8-4DF8-9570-3859735071E3}" id="{AC00003B-E5F1-4B93-B3E5-54A2DEC70811}">
    <xltc:text>Source: original illustrative planning assumption, Finin2min, 25 October 2026; replace with actual operating or funding evidence. Zero tax cash is an unresolved input, not exemption.</xltc:text>
  </xltc:threadedComment>
  <xltc:threadedComment ref="L60" dT="2026-10-25T08:29:51.78" personId="{5586D656-C9B8-4DF8-9570-3859735071E3}" id="{5A7DCB7C-B222-402C-9C28-C4ADA15B070F}">
    <xltc:text>Source: original illustrative planning assumption, Finin2min, 25 October 2026; replace with actual operating or funding evidence. Zero tax cash is an unresolved input, not exemption.</xltc:text>
  </xltc:threadedComment>
  <xltc:threadedComment ref="M60" dT="2026-10-25T08:29:51.78" personId="{5586D656-C9B8-4DF8-9570-3859735071E3}" id="{3AE3B240-A000-4858-A463-05A3F1400D08}">
    <xltc:text>Source: original illustrative planning assumption, Finin2min, 25 October 2026; replace with actual operating or funding evidence. Zero tax cash is an unresolved input, not exemption.</xltc:text>
  </xltc:threadedComment>
  <xltc:threadedComment ref="N60" dT="2026-10-25T08:29:51.78" personId="{5586D656-C9B8-4DF8-9570-3859735071E3}" id="{B8A21CE6-1B79-4F2A-A98C-3BF494724256}">
    <xltc:text>Source: original illustrative planning assumption, Finin2min, 25 October 2026; replace with actual operating or funding evidence. Zero tax cash is an unresolved input, not exemption.</xltc:text>
  </xltc:threadedComment>
  <xltc:threadedComment ref="O60" dT="2026-10-25T08:29:51.78" personId="{5586D656-C9B8-4DF8-9570-3859735071E3}" id="{0422B405-4CE7-4829-B5F0-815AD7AE6BCA}">
    <xltc:text>Source: original illustrative planning assumption, Finin2min, 25 October 2026; replace with actual operating or funding evidence. Zero tax cash is an unresolved input, not exemption.</xltc:text>
  </xltc:threadedComment>
  <xltc:threadedComment ref="E61" dT="2026-10-25T08:29:51.78" personId="{5586D656-C9B8-4DF8-9570-3859735071E3}" id="{65CFCD52-48A9-4021-ACF1-44476699C35F}">
    <xltc:text>Source: original illustrative planning assumption, Finin2min, 25 October 2026; replace with actual operating or funding evidence. Not a quotation, statutory amount or guaranteed forecast.</xltc:text>
  </xltc:threadedComment>
  <xltc:threadedComment ref="F61" dT="2026-10-25T08:29:51.78" personId="{5586D656-C9B8-4DF8-9570-3859735071E3}" id="{6ACB6375-3870-497E-9FE4-CE65814EF8D5}">
    <xltc:text>Source: original illustrative planning assumption, Finin2min, 25 October 2026; replace with actual operating or funding evidence. Not a quotation, statutory amount or guaranteed forecast.</xltc:text>
  </xltc:threadedComment>
  <xltc:threadedComment ref="G61" dT="2026-10-25T08:29:51.78" personId="{5586D656-C9B8-4DF8-9570-3859735071E3}" id="{A155912B-3F40-4B17-B141-970C167DA4AA}">
    <xltc:text>Source: original illustrative planning assumption, Finin2min, 25 October 2026; replace with actual operating or funding evidence. Not a quotation, statutory amount or guaranteed forecast.</xltc:text>
  </xltc:threadedComment>
  <xltc:threadedComment ref="H61" dT="2026-10-25T08:29:51.78" personId="{5586D656-C9B8-4DF8-9570-3859735071E3}" id="{6B0CC458-B2DA-4CBF-90FE-ED5D7D8246F4}">
    <xltc:text>Source: original illustrative planning assumption, Finin2min, 25 October 2026; replace with actual operating or funding evidence. Not a quotation, statutory amount or guaranteed forecast.</xltc:text>
  </xltc:threadedComment>
  <xltc:threadedComment ref="I61" dT="2026-10-25T08:29:51.78" personId="{5586D656-C9B8-4DF8-9570-3859735071E3}" id="{ABAE75CD-8FF1-4DDD-BC62-61BAC25BB477}">
    <xltc:text>Source: original illustrative planning assumption, Finin2min, 25 October 2026; replace with actual operating or funding evidence. Not a quotation, statutory amount or guaranteed forecast.</xltc:text>
  </xltc:threadedComment>
  <xltc:threadedComment ref="J61" dT="2026-10-25T08:29:51.78" personId="{5586D656-C9B8-4DF8-9570-3859735071E3}" id="{894D6B5C-A87C-40C6-87CD-B6CCFFCBF873}">
    <xltc:text>Source: original illustrative planning assumption, Finin2min, 25 October 2026; replace with actual operating or funding evidence. Not a quotation, statutory amount or guaranteed forecast.</xltc:text>
  </xltc:threadedComment>
  <xltc:threadedComment ref="K61" dT="2026-10-25T08:29:51.78" personId="{5586D656-C9B8-4DF8-9570-3859735071E3}" id="{2DA806E7-A91C-478C-9D55-6D9D0B627612}">
    <xltc:text>Source: original illustrative planning assumption, Finin2min, 25 October 2026; replace with actual operating or funding evidence. Not a quotation, statutory amount or guaranteed forecast.</xltc:text>
  </xltc:threadedComment>
  <xltc:threadedComment ref="L61" dT="2026-10-25T08:29:51.78" personId="{5586D656-C9B8-4DF8-9570-3859735071E3}" id="{1300A5A2-75B7-45EF-B2E0-DBF5079FFF49}">
    <xltc:text>Source: original illustrative planning assumption, Finin2min, 25 October 2026; replace with actual operating or funding evidence. Not a quotation, statutory amount or guaranteed forecast.</xltc:text>
  </xltc:threadedComment>
  <xltc:threadedComment ref="M61" dT="2026-10-25T08:29:51.78" personId="{5586D656-C9B8-4DF8-9570-3859735071E3}" id="{F060E76A-9D17-48BD-9A78-8C9D3520AC43}">
    <xltc:text>Source: original illustrative planning assumption, Finin2min, 25 October 2026; replace with actual operating or funding evidence. Not a quotation, statutory amount or guaranteed forecast.</xltc:text>
  </xltc:threadedComment>
  <xltc:threadedComment ref="N61" dT="2026-10-25T08:29:51.78" personId="{5586D656-C9B8-4DF8-9570-3859735071E3}" id="{9B2F3767-414E-432E-8911-ED65D378FF70}">
    <xltc:text>Source: original illustrative planning assumption, Finin2min, 25 October 2026; replace with actual operating or funding evidence. Not a quotation, statutory amount or guaranteed forecast.</xltc:text>
  </xltc:threadedComment>
  <xltc:threadedComment ref="O61" dT="2026-10-25T08:29:51.78" personId="{5586D656-C9B8-4DF8-9570-3859735071E3}" id="{16007955-B86F-42FA-B5D6-D8A9F8BEEEE9}">
    <xltc:text>Source: original illustrative planning assumption, Finin2min, 25 October 2026; replace with actual operating or funding evidence. Not a quotation, statutory amount or guaranteed forecast.</xltc:text>
  </xltc:threadedComment>
</xltc:ThreadedComments>
</file>

<file path=xl/worksheets/_rels/sheet5.xml.rels>&#65279;<?xml version="1.0" encoding="utf-8"?><Relationships xmlns="http://schemas.openxmlformats.org/package/2006/relationships"><Relationship Type="http://schemas.openxmlformats.org/officeDocument/2006/relationships/comments" Target="/xl/comments1.xml" Id="Rcf24826cf62e434f" /><Relationship Type="http://schemas.openxmlformats.org/officeDocument/2006/relationships/vmlDrawing" Target="/xl/drawings/vmldrawing.vml" Id="R73e24dded34d4eca" /><Relationship Type="http://schemas.microsoft.com/office/2017/10/relationships/threadedComment" Target="/xl/threadedcomments/threadedcomment.xml" Id="R7f1fb862562045bd" /><Relationship Type="http://schemas.openxmlformats.org/officeDocument/2006/relationships/drawing" Target="/xl/drawings/drawing1.xml" Id="R249966a13e794818" /></Relationships>
</file>

<file path=xl/worksheets/_rels/sheet6.xml.rels>&#65279;<?xml version="1.0" encoding="utf-8"?><Relationships xmlns="http://schemas.openxmlformats.org/package/2006/relationships"><Relationship Type="http://schemas.openxmlformats.org/officeDocument/2006/relationships/comments" Target="/xl/comments2.xml" Id="R5cb6d151edcb4613" /><Relationship Type="http://schemas.openxmlformats.org/officeDocument/2006/relationships/vmlDrawing" Target="/xl/drawings/vmldrawing2.vml" Id="R1c8c6d2a1d714e5f" /><Relationship Type="http://schemas.microsoft.com/office/2017/10/relationships/threadedComment" Target="/xl/threadedcomments/threadedcomment2.xml" Id="Rad232bbb1ee3448a" /><Relationship Type="http://schemas.openxmlformats.org/officeDocument/2006/relationships/drawing" Target="/xl/drawings/drawing2.xml" Id="Ra02163a135f94803" /></Relationships>
</file>

<file path=xl/worksheets/_rels/sheet7.xml.rels>&#65279;<?xml version="1.0" encoding="utf-8"?><Relationships xmlns="http://schemas.openxmlformats.org/package/2006/relationships"><Relationship Type="http://schemas.openxmlformats.org/officeDocument/2006/relationships/comments" Target="/xl/comments3.xml" Id="R7decf1c90f624669" /><Relationship Type="http://schemas.openxmlformats.org/officeDocument/2006/relationships/vmlDrawing" Target="/xl/drawings/vmldrawing3.vml" Id="R64c433a935924ed3" /><Relationship Type="http://schemas.microsoft.com/office/2017/10/relationships/threadedComment" Target="/xl/threadedcomments/threadedcomment3.xml" Id="R76281ce6d86c4933" /><Relationship Type="http://schemas.openxmlformats.org/officeDocument/2006/relationships/drawing" Target="/xl/drawings/drawing3.xml" Id="Rb240d07403c4486a" /></Relationships>
</file>

<file path=xl/worksheets/_rels/sheet8.xml.rels>&#65279;<?xml version="1.0" encoding="utf-8"?><Relationships xmlns="http://schemas.openxmlformats.org/package/2006/relationships"><Relationship Type="http://schemas.openxmlformats.org/officeDocument/2006/relationships/comments" Target="/xl/comments4.xml" Id="Rcdb30c63d7a34865" /><Relationship Type="http://schemas.openxmlformats.org/officeDocument/2006/relationships/vmlDrawing" Target="/xl/drawings/vmldrawing4.vml" Id="R7ef67ea0d57144f9" /><Relationship Type="http://schemas.microsoft.com/office/2017/10/relationships/threadedComment" Target="/xl/threadedcomments/threadedcomment4.xml" Id="Rab2a9c56292847f7" /><Relationship Type="http://schemas.openxmlformats.org/officeDocument/2006/relationships/drawing" Target="/xl/drawings/drawing4.xml" Id="Rc27ed793cf104240" /></Relationships>
</file>

<file path=xl/worksheets/_rels/sheet9.xml.rels>&#65279;<?xml version="1.0" encoding="utf-8"?><Relationships xmlns="http://schemas.openxmlformats.org/package/2006/relationships"><Relationship Type="http://schemas.openxmlformats.org/officeDocument/2006/relationships/comments" Target="/xl/comments5.xml" Id="Rd5b0debf972849ed" /><Relationship Type="http://schemas.openxmlformats.org/officeDocument/2006/relationships/vmlDrawing" Target="/xl/drawings/vmldrawing5.vml" Id="Red8980812e7e4368" /><Relationship Type="http://schemas.microsoft.com/office/2017/10/relationships/threadedComment" Target="/xl/threadedcomments/threadedcomment5.xml" Id="R06e973e5cbfa421e" /><Relationship Type="http://schemas.openxmlformats.org/officeDocument/2006/relationships/drawing" Target="/xl/drawings/drawing5.xml" Id="Rd5d4ceebe35c4518" /></Relationships>
</file>

<file path=xl/worksheets/_rels/sheet10.xml.rels>&#65279;<?xml version="1.0" encoding="utf-8"?><Relationships xmlns="http://schemas.openxmlformats.org/package/2006/relationships"><Relationship Type="http://schemas.openxmlformats.org/officeDocument/2006/relationships/comments" Target="/xl/comments6.xml" Id="R8c6fd089a890445e" /><Relationship Type="http://schemas.openxmlformats.org/officeDocument/2006/relationships/vmlDrawing" Target="/xl/drawings/vmldrawing6.vml" Id="R076e6c7dea844cf8" /><Relationship Type="http://schemas.microsoft.com/office/2017/10/relationships/threadedComment" Target="/xl/threadedcomments/threadedcomment6.xml" Id="R0620463956a94673" /><Relationship Type="http://schemas.openxmlformats.org/officeDocument/2006/relationships/drawing" Target="/xl/drawings/drawing6.xml" Id="R2c89182673d34e8a" /></Relationships>
</file>

<file path=xl/worksheets/_rels/sheet11.xml.rels>&#65279;<?xml version="1.0" encoding="utf-8"?><Relationships xmlns="http://schemas.openxmlformats.org/package/2006/relationships"><Relationship Type="http://schemas.openxmlformats.org/officeDocument/2006/relationships/comments" Target="/xl/comments7.xml" Id="R2f9f813f3f044df5" /><Relationship Type="http://schemas.openxmlformats.org/officeDocument/2006/relationships/vmlDrawing" Target="/xl/drawings/vmldrawing7.vml" Id="Rb1378caff6c74303" /><Relationship Type="http://schemas.microsoft.com/office/2017/10/relationships/threadedComment" Target="/xl/threadedcomments/threadedcomment7.xml" Id="R8816bbc6bf2d49e6" /><Relationship Type="http://schemas.openxmlformats.org/officeDocument/2006/relationships/drawing" Target="/xl/drawings/drawing7.xml" Id="R013afb7f9e924f0f" /></Relationships>
</file>

<file path=xl/worksheets/_rels/sheet12.xml.rels>&#65279;<?xml version="1.0" encoding="utf-8"?><Relationships xmlns="http://schemas.openxmlformats.org/package/2006/relationships"><Relationship Type="http://schemas.openxmlformats.org/officeDocument/2006/relationships/comments" Target="/xl/comments8.xml" Id="R78085cce527d43fe" /><Relationship Type="http://schemas.openxmlformats.org/officeDocument/2006/relationships/vmlDrawing" Target="/xl/drawings/vmldrawing8.vml" Id="Rb18ccaf8655e44c7" /><Relationship Type="http://schemas.microsoft.com/office/2017/10/relationships/threadedComment" Target="/xl/threadedcomments/threadedcomment8.xml" Id="R1a99074f00d74c61" /><Relationship Type="http://schemas.openxmlformats.org/officeDocument/2006/relationships/drawing" Target="/xl/drawings/drawing8.xml" Id="R76f6c4ec7c2640ae" /></Relationships>
</file>

<file path=xl/worksheets/_rels/sheet13.xml.rels>&#65279;<?xml version="1.0" encoding="utf-8"?><Relationships xmlns="http://schemas.openxmlformats.org/package/2006/relationships"><Relationship Type="http://schemas.openxmlformats.org/officeDocument/2006/relationships/comments" Target="/xl/comments9.xml" Id="Rd48c1b4ef05a4260" /><Relationship Type="http://schemas.openxmlformats.org/officeDocument/2006/relationships/vmlDrawing" Target="/xl/drawings/vmldrawing9.vml" Id="Rf20d70a7bb374af8" /><Relationship Type="http://schemas.microsoft.com/office/2017/10/relationships/threadedComment" Target="/xl/threadedcomments/threadedcomment9.xml" Id="Re4732ad6ac7a4b40" /><Relationship Type="http://schemas.openxmlformats.org/officeDocument/2006/relationships/drawing" Target="/xl/drawings/drawing9.xml" Id="R79ead2fe50c94dac" /></Relationships>
</file>

<file path=xl/worksheets/_rels/sheet14.xml.rels>&#65279;<?xml version="1.0" encoding="utf-8"?><Relationships xmlns="http://schemas.openxmlformats.org/package/2006/relationships"><Relationship Type="http://schemas.openxmlformats.org/officeDocument/2006/relationships/comments" Target="/xl/comments10.xml" Id="Rc63826c5eece437a" /><Relationship Type="http://schemas.openxmlformats.org/officeDocument/2006/relationships/vmlDrawing" Target="/xl/drawings/vmldrawing10.vml" Id="R3a9b6d7fa05743af" /><Relationship Type="http://schemas.microsoft.com/office/2017/10/relationships/threadedComment" Target="/xl/threadedcomments/threadedcomment10.xml" Id="R1dc5c08c28fd4a67" /><Relationship Type="http://schemas.openxmlformats.org/officeDocument/2006/relationships/drawing" Target="/xl/drawings/drawing10.xml" Id="R4cc111d677ed4fe7" /></Relationships>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8" hidden="0" customWidth="1"/>
    <x:col min="2" max="2" width="22" hidden="0" customWidth="1"/>
    <x:col min="3" max="3" width="22" hidden="0" customWidth="1"/>
    <x:col min="4" max="4" width="22" hidden="0" customWidth="1"/>
    <x:col min="5" max="5" width="22" hidden="0" customWidth="1"/>
    <x:col min="6" max="6" width="22" hidden="0" customWidth="1"/>
  </x:cols>
  <x:sheetData>
    <x:row r="1">
      <x:c r="A1" s="98" t="str">
        <x:v>Finin2min | Business Batch 03 | How to use the models</x:v>
      </x:c>
      <x:c r="B1" s="98"/>
      <x:c r="C1" s="98"/>
      <x:c r="D1" s="98"/>
      <x:c r="E1" s="98"/>
      <x:c r="F1" s="98"/>
    </x:row>
    <x:row r="2">
      <x:c r="A2" s="98"/>
      <x:c r="B2" s="98"/>
      <x:c r="C2" s="98"/>
      <x:c r="D2" s="98"/>
      <x:c r="E2" s="98"/>
      <x:c r="F2" s="98"/>
    </x:row>
    <x:row r="3">
      <x:c r="A3" s="99"/>
      <x:c r="B3" s="99"/>
      <x:c r="C3" s="99"/>
      <x:c r="D3" s="99"/>
      <x:c r="E3" s="99"/>
      <x:c r="F3" s="99"/>
    </x:row>
    <x:row r="4">
      <x:c r="A4" s="99"/>
      <x:c r="B4" s="99"/>
      <x:c r="C4" s="99"/>
      <x:c r="D4" s="99"/>
      <x:c r="E4" s="99"/>
      <x:c r="F4" s="99"/>
    </x:row>
    <x:row r="5" ht="66" customHeight="1">
      <x:c r="A5" s="100" t="str">
        <x:v>Edition and scope</x:v>
      </x:c>
      <x:c r="B5" s="101" t="str">
        <x:v>25 October 2026. Ten new business models, PCJ-19 to PCJ-28. Original illustrative planning inputs; not price research, official fee quotations, tax advice or investment recommendations.</x:v>
      </x:c>
      <x:c r="C5" s="101"/>
      <x:c r="D5" s="101"/>
      <x:c r="E5" s="101"/>
      <x:c r="F5" s="101"/>
    </x:row>
    <x:row r="6" ht="66" customHeight="1">
      <x:c r="A6" s="100" t="str">
        <x:v>Start here</x:v>
      </x:c>
      <x:c r="B6" s="101" t="str">
        <x:v>Read the business guide, validate the local demand test and complete the permission dossier. Replace blue inputs with signed quotations, actual capacity and client/supplier terms.</x:v>
      </x:c>
      <x:c r="C6" s="101"/>
      <x:c r="D6" s="101"/>
      <x:c r="E6" s="101"/>
      <x:c r="F6" s="101"/>
    </x:row>
    <x:row r="7" ht="66" customHeight="1">
      <x:c r="A7" s="100" t="str">
        <x:v>Input colour convention</x:v>
      </x:c>
      <x:c r="B7" s="101" t="str">
        <x:v>Blue = editable assumptions. Black = same-sheet formulas. Green = links from another model. Yellow = critical assumptions requiring attention. Negative figures appear in red parentheses; zeros appear as a dash.</x:v>
      </x:c>
      <x:c r="C7" s="101"/>
      <x:c r="D7" s="101"/>
      <x:c r="E7" s="101"/>
      <x:c r="F7" s="101"/>
    </x:row>
    <x:row r="8" ht="66" customHeight="1">
      <x:c r="A8" s="100" t="str">
        <x:v>Model unit</x:v>
      </x:c>
      <x:c r="B8" s="101" t="str">
        <x:v>Each model uses a different operating unit: clients, kWh, shifts, packs, baskets, units, worker-months, site-months, asset-months or repair jobs. Do not compare margins without understanding the unit and scope.</x:v>
      </x:c>
      <x:c r="C8" s="101"/>
      <x:c r="D8" s="101"/>
      <x:c r="E8" s="101"/>
      <x:c r="F8" s="101"/>
    </x:row>
    <x:row r="9" ht="66" customHeight="1">
      <x:c r="A9" s="100" t="str">
        <x:v>Monthly forecast</x:v>
      </x:c>
      <x:c r="B9" s="101" t="str">
        <x:v>Volume ramp and scenario multipliers drive operating results. Collections and supplier payments use weighted 0–90-day lags with a 30-day month, not a precise invoice-level cash calendar.</x:v>
      </x:c>
      <x:c r="C9" s="101"/>
      <x:c r="D9" s="101"/>
      <x:c r="E9" s="101"/>
      <x:c r="F9" s="101"/>
    </x:row>
    <x:row r="10" ht="66" customHeight="1">
      <x:c r="A10" s="100" t="str">
        <x:v>Inventory and payables</x:v>
      </x:c>
      <x:c r="B10" s="101" t="str">
        <x:v>Only the specified share of variable cost creates target inventory. Only the specified purchase share receives supplier credit. Other costs are paid currently; payroll and statutory deadlines require an actual compliance calendar.</x:v>
      </x:c>
      <x:c r="C10" s="101"/>
      <x:c r="D10" s="101"/>
      <x:c r="E10" s="101"/>
      <x:c r="F10" s="101"/>
    </x:row>
    <x:row r="11" ht="66" customHeight="1">
      <x:c r="A11" s="100" t="str">
        <x:v>Opening position</x:v>
      </x:c>
      <x:c r="B11" s="101" t="str">
        <x:v>The model begins with no receivables, stock or payables. Startup assets, deposits and pre-opening expenses are funded before month 1. Opening cash is the reserve remaining after those payments.</x:v>
      </x:c>
      <x:c r="C11" s="101"/>
      <x:c r="D11" s="101"/>
      <x:c r="E11" s="101"/>
      <x:c r="F11" s="101"/>
    </x:row>
    <x:row r="12" ht="66" customHeight="1">
      <x:c r="A12" s="100" t="str">
        <x:v>Tax and credit</x:v>
      </x:c>
      <x:c r="B12" s="101" t="str">
        <x:v>Net revenue excludes GST. Non-creditable tax belongs in costs. Monthly net tax cash begins at zero as a placeholder and must be entered. The workbook does not determine GST exemptions, statutory rates, withholding or taxable income.</x:v>
      </x:c>
      <x:c r="C12" s="101"/>
      <x:c r="D12" s="101"/>
      <x:c r="E12" s="101"/>
      <x:c r="F12" s="101"/>
    </x:row>
    <x:row r="13" ht="66" customHeight="1">
      <x:c r="A13" s="100" t="str">
        <x:v>Debt and further capex</x:v>
      </x:c>
      <x:c r="B13" s="101" t="str">
        <x:v>An initial loan is part of startup funding. Enter actual monthly principal, tax cash and additional capex. There is no automatic borrowing or equity top-up. Depreciation covers initial capex only.</x:v>
      </x:c>
      <x:c r="C13" s="101"/>
      <x:c r="D13" s="101"/>
      <x:c r="E13" s="101"/>
      <x:c r="F13" s="101"/>
    </x:row>
    <x:row r="14" ht="66" customHeight="1">
      <x:c r="A14" s="100" t="str">
        <x:v>Deposits and subsidies</x:v>
      </x:c>
      <x:c r="B14" s="101" t="str">
        <x:v>No customer-deposit inflow, subsidy or incentive is included in income or the forecast. These require separate liability/sanction and timing schedules. Refundable startup deposits are funded but not expensed immediately.</x:v>
      </x:c>
      <x:c r="C14" s="101"/>
      <x:c r="D14" s="101"/>
      <x:c r="E14" s="101"/>
      <x:c r="F14" s="101"/>
    </x:row>
    <x:row r="15" ht="66" customHeight="1">
      <x:c r="A15" s="100" t="str">
        <x:v>Funding decision</x:v>
      </x:c>
      <x:c r="B15" s="101" t="str">
        <x:v>Review the minimum closing cash and input/capacity/debt flags. Additional opening cash needed is an indication of the modelled shortfall, not a loan approval or recommended financing structure.</x:v>
      </x:c>
      <x:c r="C15" s="101"/>
      <x:c r="D15" s="101"/>
      <x:c r="E15" s="101"/>
      <x:c r="F15" s="101"/>
    </x:row>
    <x:row r="16" ht="66" customHeight="1">
      <x:c r="A16" s="100" t="str">
        <x:v>Known simplifications</x:v>
      </x:c>
      <x:c r="B16" s="101" t="str">
        <x:v>No full balance sheet, tax depreciation, working-capital facility fees, shareholder distributions, terminal value, inflation forecast, actual calendar dates or automatic depreciation of later assets. Extend the model transparently when needed.</x:v>
      </x:c>
      <x:c r="C16" s="101"/>
      <x:c r="D16" s="101"/>
      <x:c r="E16" s="101"/>
      <x:c r="F16" s="101"/>
    </x:row>
    <x:row r="17" ht="66" customHeight="1">
      <x:c r="A17" s="100" t="str">
        <x:v>Source treatment</x:v>
      </x:c>
      <x:c r="B17" s="101" t="str">
        <x:v>Primary sources support the sector context and legal boundaries, not the illustrative prices or margins. The source sheet distinguishes substantive documents from official directories and source limitations.</x:v>
      </x:c>
      <x:c r="C17" s="101"/>
      <x:c r="D17" s="101"/>
      <x:c r="E17" s="101"/>
      <x:c r="F17" s="101"/>
    </x:row>
    <x:row r="18" ht="66" customHeight="1">
      <x:c r="A18" s="100" t="str">
        <x:v>Professional and publication boundary</x:v>
      </x:c>
      <x:c r="B18" s="101" t="str">
        <x:v>No individual licence, inspection, clinical suitability determination, signed specialist opinion, live website deployment or Google indexing is supplied. Use the appropriate qualified professional for the actual case.</x:v>
      </x:c>
      <x:c r="C18" s="101"/>
      <x:c r="D18" s="101"/>
      <x:c r="E18" s="101"/>
      <x:c r="F18" s="101"/>
    </x:row>
    <x:row r="19" ht="66" customHeight="1">
      <x:c r="A19" s="125" t="str">
        <x:v>Decision flags</x:v>
      </x:c>
      <x:c r="B19" s="125" t="str">
        <x:v>Model status appears at the top of each model and below the overview. Non-positive contribution gives NOT VIABLE, not zero break-even. Invalid inputs, capacity limits and negative cash are separate flags. Neither OK nor ILLUSTRATIVE approves tax, safety, a licence or an investment.</x:v>
      </x:c>
      <x:c r="C19" s="125"/>
      <x:c r="D19" s="125"/>
      <x:c r="E19" s="125"/>
      <x:c r="F19" s="125"/>
    </x:row>
    <x:row r="20">
      <x:c r="A20" s="72"/>
      <x:c r="B20" s="72"/>
      <x:c r="C20" s="72"/>
      <x:c r="D20" s="72"/>
      <x:c r="E20" s="72"/>
      <x:c r="F20" s="72"/>
    </x:row>
    <x:row r="21">
      <x:c r="A21" s="72"/>
      <x:c r="B21" s="72"/>
      <x:c r="C21" s="72"/>
      <x:c r="D21" s="72"/>
      <x:c r="E21" s="72"/>
      <x:c r="F21" s="72"/>
    </x:row>
    <x:row r="22">
      <x:c r="A22" s="72"/>
      <x:c r="B22" s="72"/>
      <x:c r="C22" s="72"/>
      <x:c r="D22" s="72"/>
      <x:c r="E22" s="72"/>
      <x:c r="F22" s="72"/>
    </x:row>
    <x:row r="23">
      <x:c r="A23" s="72"/>
      <x:c r="B23" s="72"/>
      <x:c r="C23" s="72"/>
      <x:c r="D23" s="72"/>
      <x:c r="E23" s="72"/>
      <x:c r="F23" s="72"/>
    </x:row>
    <x:row r="24">
      <x:c r="A24" s="72"/>
      <x:c r="B24" s="72"/>
      <x:c r="C24" s="72"/>
      <x:c r="D24" s="72"/>
      <x:c r="E24" s="72"/>
      <x:c r="F24" s="72"/>
    </x:row>
    <x:row r="25">
      <x:c r="A25" s="72"/>
      <x:c r="B25" s="72"/>
      <x:c r="C25" s="72"/>
      <x:c r="D25" s="72"/>
      <x:c r="E25" s="72"/>
      <x:c r="F25" s="72"/>
    </x:row>
    <x:row r="26">
      <x:c r="A26" s="72"/>
      <x:c r="B26" s="72"/>
      <x:c r="C26" s="72"/>
      <x:c r="D26" s="72"/>
      <x:c r="E26" s="72"/>
      <x:c r="F26" s="72"/>
    </x:row>
    <x:row r="27">
      <x:c r="A27" s="72"/>
      <x:c r="B27" s="72"/>
      <x:c r="C27" s="72"/>
      <x:c r="D27" s="72"/>
      <x:c r="E27" s="72"/>
      <x:c r="F27" s="72"/>
    </x:row>
    <x:row r="28">
      <x:c r="A28" s="72"/>
      <x:c r="B28" s="72"/>
      <x:c r="C28" s="72"/>
      <x:c r="D28" s="72"/>
      <x:c r="E28" s="72"/>
      <x:c r="F28" s="72"/>
    </x:row>
    <x:row r="29">
      <x:c r="A29" s="72"/>
      <x:c r="B29" s="72"/>
      <x:c r="C29" s="72"/>
      <x:c r="D29" s="72"/>
      <x:c r="E29" s="72"/>
      <x:c r="F29" s="72"/>
    </x:row>
    <x:row r="30">
      <x:c r="A30" s="72"/>
      <x:c r="B30" s="72"/>
      <x:c r="C30" s="72"/>
      <x:c r="D30" s="72"/>
      <x:c r="E30" s="72"/>
      <x:c r="F30" s="72"/>
    </x:row>
    <x:row r="31">
      <x:c r="A31" s="72"/>
      <x:c r="B31" s="72"/>
      <x:c r="C31" s="72"/>
      <x:c r="D31" s="72"/>
      <x:c r="E31" s="72"/>
      <x:c r="F31" s="72"/>
    </x:row>
    <x:row r="32">
      <x:c r="A32" s="72"/>
      <x:c r="B32" s="72"/>
      <x:c r="C32" s="72"/>
      <x:c r="D32" s="72"/>
      <x:c r="E32" s="72"/>
      <x:c r="F32" s="72"/>
    </x:row>
    <x:row r="33">
      <x:c r="A33" s="72"/>
      <x:c r="B33" s="72"/>
      <x:c r="C33" s="72"/>
      <x:c r="D33" s="72"/>
      <x:c r="E33" s="72"/>
      <x:c r="F33" s="72"/>
    </x:row>
    <x:row r="34">
      <x:c r="A34" s="72"/>
      <x:c r="B34" s="72"/>
      <x:c r="C34" s="72"/>
      <x:c r="D34" s="72"/>
      <x:c r="E34" s="72"/>
      <x:c r="F34" s="72"/>
    </x:row>
    <x:row r="35">
      <x:c r="A35" s="72"/>
      <x:c r="B35" s="72"/>
      <x:c r="C35" s="72"/>
      <x:c r="D35" s="72"/>
      <x:c r="E35" s="72"/>
      <x:c r="F35" s="72"/>
    </x:row>
  </x:sheetData>
  <x:mergeCells>
    <x:mergeCell ref="A1:F2"/>
    <x:mergeCell ref="B5:F5"/>
    <x:mergeCell ref="B6:F6"/>
    <x:mergeCell ref="B7:F7"/>
    <x:mergeCell ref="B8:F8"/>
    <x:mergeCell ref="B9:F9"/>
    <x:mergeCell ref="B10:F10"/>
    <x:mergeCell ref="B11:F11"/>
    <x:mergeCell ref="B12:F12"/>
    <x:mergeCell ref="B13:F13"/>
    <x:mergeCell ref="B14:F14"/>
    <x:mergeCell ref="B15:F15"/>
    <x:mergeCell ref="B16:F16"/>
    <x:mergeCell ref="B17:F17"/>
    <x:mergeCell ref="B18:F18"/>
    <x:mergeCell ref="B19:F19"/>
  </x:mergeCells>
  <x:pageMargins left="0.7" right="0.7" top="0.75" bottom="0.75" header="0.3" footer="0.3"/>
</x:worksheet>
</file>

<file path=xl/worksheets/sheet2.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2" hidden="0" customWidth="1"/>
    <x:col min="2" max="2" width="38"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24" customHeight="1">
      <x:c r="A1" s="86" t="str">
        <x:v>FININ2MIN | NEW BUSINESS FINANCE | PCJ-19–28</x:v>
      </x:c>
      <x:c r="B1" s="86"/>
      <x:c r="C1" s="86"/>
      <x:c r="D1" s="86"/>
      <x:c r="E1" s="86"/>
      <x:c r="F1" s="86"/>
      <x:c r="G1" s="86"/>
      <x:c r="H1" s="86"/>
      <x:c r="I1" s="86"/>
    </x:row>
    <x:row r="2" ht="24" customHeight="1">
      <x:c r="A2" s="86"/>
      <x:c r="B2" s="86"/>
      <x:c r="C2" s="86"/>
      <x:c r="D2" s="86"/>
      <x:c r="E2" s="86"/>
      <x:c r="F2" s="86"/>
      <x:c r="G2" s="86"/>
      <x:c r="H2" s="86"/>
      <x:c r="I2" s="86"/>
    </x:row>
    <x:row r="3" ht="24" customHeight="1">
      <x:c r="A3" s="87" t="str">
        <x:v>Illustrative comparisons only. Different units and risks are not directly comparable investment rankings. Edit each model, including tax cash and safe capacity, before a funding decision.</x:v>
      </x:c>
      <x:c r="B3" s="87"/>
      <x:c r="C3" s="87"/>
      <x:c r="D3" s="87"/>
      <x:c r="E3" s="87"/>
      <x:c r="F3" s="87"/>
      <x:c r="G3" s="87"/>
      <x:c r="H3" s="87"/>
      <x:c r="I3" s="87"/>
    </x:row>
    <x:row r="4" ht="24" customHeight="1">
      <x:c r="A4" s="87"/>
      <x:c r="B4" s="87"/>
      <x:c r="C4" s="87"/>
      <x:c r="D4" s="87"/>
      <x:c r="E4" s="87"/>
      <x:c r="F4" s="87"/>
      <x:c r="G4" s="87"/>
      <x:c r="H4" s="87"/>
      <x:c r="I4" s="87"/>
    </x:row>
    <x:row r="5" ht="24" customHeight="1">
      <x:c r="A5" s="88"/>
      <x:c r="B5" s="88"/>
      <x:c r="C5" s="88"/>
      <x:c r="D5" s="88"/>
      <x:c r="E5" s="88"/>
      <x:c r="F5" s="88"/>
      <x:c r="G5" s="88"/>
      <x:c r="H5" s="88"/>
      <x:c r="I5" s="88"/>
    </x:row>
    <x:row r="6" ht="52" customHeight="1">
      <x:c r="A6" s="89" t="str">
        <x:v>Code</x:v>
      </x:c>
      <x:c r="B6" s="89" t="str">
        <x:v>Business</x:v>
      </x:c>
      <x:c r="C6" s="89" t="str">
        <x:v>Startup funding INR</x:v>
      </x:c>
      <x:c r="D6" s="89" t="str">
        <x:v>Scenario steady monthly revenue INR</x:v>
      </x:c>
      <x:c r="E6" s="89" t="str">
        <x:v>Scenario steady monthly operating surplus INR</x:v>
      </x:c>
      <x:c r="F6" s="89" t="str">
        <x:v>Break-even units</x:v>
      </x:c>
      <x:c r="G6" s="89" t="str">
        <x:v>Year-one operating profit INR</x:v>
      </x:c>
      <x:c r="H6" s="89" t="str">
        <x:v>Minimum closing cash INR</x:v>
      </x:c>
      <x:c r="I6" s="89" t="str">
        <x:v>Extra opening cash needed INR</x:v>
      </x:c>
    </x:row>
    <x:row r="7" ht="43" customHeight="1">
      <x:c r="A7" s="88" t="str">
        <x:v>PCJ-19</x:v>
      </x:c>
      <x:c r="B7" s="90" t="str">
        <x:v>AI Automation &amp; B2B Workflow Studio</x:v>
      </x:c>
      <x:c r="C7" s="91" t="n">
        <x:f>'PCJ-19'!B71</x:f>
        <x:v>1130000</x:v>
      </x:c>
      <x:c r="D7" s="91" t="n">
        <x:f>ROUND('PCJ-19'!B8*'PCJ-19'!B25,0)*'PCJ-19'!B9*'PCJ-19'!B26</x:f>
        <x:v>400000</x:v>
      </x:c>
      <x:c r="E7" s="91" t="n">
        <x:f>ROUND('PCJ-19'!B8*'PCJ-19'!B25,0)*('PCJ-19'!B9*'PCJ-19'!B26-'PCJ-19'!B10*'PCJ-19'!B27)-'PCJ-19'!B11*'PCJ-19'!B28</x:f>
        <x:v>84000</x:v>
      </x:c>
      <x:c r="F7" s="91" t="n">
        <x:f>'PCJ-19'!B74</x:f>
        <x:v>6</x:v>
      </x:c>
      <x:c r="G7" s="91" t="n">
        <x:f>'PCJ-19'!B75</x:f>
        <x:v>777000</x:v>
      </x:c>
      <x:c r="H7" s="91" t="n">
        <x:f>'PCJ-19'!B76</x:f>
        <x:v>277950</x:v>
      </x:c>
      <x:c r="I7" s="91" t="n">
        <x:f>'PCJ-19'!B77</x:f>
        <x:v>0</x:v>
      </x:c>
    </x:row>
    <x:row r="8" ht="43" customHeight="1">
      <x:c r="A8" s="88" t="str">
        <x:v>PCJ-20</x:v>
      </x:c>
      <x:c r="B8" s="90" t="str">
        <x:v>EV Charging Station &amp; Fleet Depot</x:v>
      </x:c>
      <x:c r="C8" s="91" t="n">
        <x:f>'PCJ-20'!B71</x:f>
        <x:v>3400000</x:v>
      </x:c>
      <x:c r="D8" s="91" t="n">
        <x:f>ROUND('PCJ-20'!B8*'PCJ-20'!B25,0)*'PCJ-20'!B9*'PCJ-20'!B26</x:f>
        <x:v>324000</x:v>
      </x:c>
      <x:c r="E8" s="91" t="n">
        <x:f>ROUND('PCJ-20'!B8*'PCJ-20'!B25,0)*('PCJ-20'!B9*'PCJ-20'!B26-'PCJ-20'!B10*'PCJ-20'!B27)-'PCJ-20'!B11*'PCJ-20'!B28</x:f>
        <x:v>25000</x:v>
      </x:c>
      <x:c r="F8" s="91" t="n">
        <x:f>'PCJ-20'!B74</x:f>
        <x:v>14667</x:v>
      </x:c>
      <x:c r="G8" s="91" t="n">
        <x:f>'PCJ-20'!B75</x:f>
        <x:v>198750</x:v>
      </x:c>
      <x:c r="H8" s="91" t="n">
        <x:f>'PCJ-20'!B76</x:f>
        <x:v>497535</x:v>
      </x:c>
      <x:c r="I8" s="91" t="n">
        <x:f>'PCJ-20'!B77</x:f>
        <x:v>0</x:v>
      </x:c>
    </x:row>
    <x:row r="9" ht="43" customHeight="1">
      <x:c r="A9" s="88" t="str">
        <x:v>PCJ-21</x:v>
      </x:c>
      <x:c r="B9" s="90" t="str">
        <x:v>Home Healthcare &amp; Elder-care Services</x:v>
      </x:c>
      <x:c r="C9" s="91" t="n">
        <x:f>'PCJ-21'!B71</x:f>
        <x:v>1080000</x:v>
      </x:c>
      <x:c r="D9" s="91" t="n">
        <x:f>ROUND('PCJ-21'!B8*'PCJ-21'!B25,0)*'PCJ-21'!B9*'PCJ-21'!B26</x:f>
        <x:v>660000</x:v>
      </x:c>
      <x:c r="E9" s="91" t="n">
        <x:f>ROUND('PCJ-21'!B8*'PCJ-21'!B25,0)*('PCJ-21'!B9*'PCJ-21'!B26-'PCJ-21'!B10*'PCJ-21'!B27)-'PCJ-21'!B11*'PCJ-21'!B28</x:f>
        <x:v>60000</x:v>
      </x:c>
      <x:c r="F9" s="91" t="n">
        <x:f>'PCJ-21'!B74</x:f>
        <x:v>200</x:v>
      </x:c>
      <x:c r="G9" s="91" t="n">
        <x:f>'PCJ-21'!B75</x:f>
        <x:v>585000</x:v>
      </x:c>
      <x:c r="H9" s="91" t="n">
        <x:f>'PCJ-21'!B76</x:f>
        <x:v>377000</x:v>
      </x:c>
      <x:c r="I9" s="91" t="n">
        <x:f>'PCJ-21'!B77</x:f>
        <x:v>0</x:v>
      </x:c>
    </x:row>
    <x:row r="10" ht="43" customHeight="1">
      <x:c r="A10" s="88" t="str">
        <x:v>PCJ-22</x:v>
      </x:c>
      <x:c r="B10" s="90" t="str">
        <x:v>Packaged Food Processing &amp; Private-label Brand</x:v>
      </x:c>
      <x:c r="C10" s="91" t="n">
        <x:f>'PCJ-22'!B71</x:f>
        <x:v>2100000</x:v>
      </x:c>
      <x:c r="D10" s="91" t="n">
        <x:f>ROUND('PCJ-22'!B8*'PCJ-22'!B25,0)*'PCJ-22'!B9*'PCJ-22'!B26</x:f>
        <x:v>900000</x:v>
      </x:c>
      <x:c r="E10" s="91" t="n">
        <x:f>ROUND('PCJ-22'!B8*'PCJ-22'!B25,0)*('PCJ-22'!B9*'PCJ-22'!B26-'PCJ-22'!B10*'PCJ-22'!B27)-'PCJ-22'!B11*'PCJ-22'!B28</x:f>
        <x:v>80000</x:v>
      </x:c>
      <x:c r="F10" s="91" t="n">
        <x:f>'PCJ-22'!B74</x:f>
        <x:v>14667</x:v>
      </x:c>
      <x:c r="G10" s="91" t="n">
        <x:f>'PCJ-22'!B75</x:f>
        <x:v>735000</x:v>
      </x:c>
      <x:c r="H10" s="91" t="n">
        <x:f>'PCJ-22'!B76</x:f>
        <x:v>-312050</x:v>
      </x:c>
      <x:c r="I10" s="91" t="n">
        <x:f>'PCJ-22'!B77</x:f>
        <x:v>312050</x:v>
      </x:c>
    </x:row>
    <x:row r="11" ht="43" customHeight="1">
      <x:c r="A11" s="88" t="str">
        <x:v>PCJ-23</x:v>
      </x:c>
      <x:c r="B11" s="90" t="str">
        <x:v>Retail Pharmacy &amp; Jan Aushadhi</x:v>
      </x:c>
      <x:c r="C11" s="91" t="n">
        <x:f>'PCJ-23'!B71</x:f>
        <x:v>1400000</x:v>
      </x:c>
      <x:c r="D11" s="91" t="n">
        <x:f>ROUND('PCJ-23'!B8*'PCJ-23'!B25,0)*'PCJ-23'!B9*'PCJ-23'!B26</x:f>
        <x:v>1050000</x:v>
      </x:c>
      <x:c r="E11" s="91" t="n">
        <x:f>ROUND('PCJ-23'!B8*'PCJ-23'!B25,0)*('PCJ-23'!B9*'PCJ-23'!B26-'PCJ-23'!B10*'PCJ-23'!B27)-'PCJ-23'!B11*'PCJ-23'!B28</x:f>
        <x:v>60000</x:v>
      </x:c>
      <x:c r="F11" s="91" t="n">
        <x:f>'PCJ-23'!B74</x:f>
        <x:v>2143</x:v>
      </x:c>
      <x:c r="G11" s="91" t="n">
        <x:f>'PCJ-23'!B75</x:f>
        <x:v>562500</x:v>
      </x:c>
      <x:c r="H11" s="91" t="n">
        <x:f>'PCJ-23'!B76</x:f>
        <x:v>273270.79999999993</x:v>
      </x:c>
      <x:c r="I11" s="91" t="n">
        <x:f>'PCJ-23'!B77</x:f>
        <x:v>0</x:v>
      </x:c>
    </x:row>
    <x:row r="12" ht="43" customHeight="1">
      <x:c r="A12" s="88" t="str">
        <x:v>PCJ-24</x:v>
      </x:c>
      <x:c r="B12" s="90" t="str">
        <x:v>Electronics Repair &amp; Refurbishment</x:v>
      </x:c>
      <x:c r="C12" s="91" t="n">
        <x:f>'PCJ-24'!B71</x:f>
        <x:v>1360000</x:v>
      </x:c>
      <x:c r="D12" s="91" t="n">
        <x:f>ROUND('PCJ-24'!B8*'PCJ-24'!B25,0)*'PCJ-24'!B9*'PCJ-24'!B26</x:f>
        <x:v>1920000</x:v>
      </x:c>
      <x:c r="E12" s="91" t="n">
        <x:f>ROUND('PCJ-24'!B8*'PCJ-24'!B25,0)*('PCJ-24'!B9*'PCJ-24'!B26-'PCJ-24'!B10*'PCJ-24'!B27)-'PCJ-24'!B11*'PCJ-24'!B28</x:f>
        <x:v>220000</x:v>
      </x:c>
      <x:c r="F12" s="91" t="n">
        <x:f>'PCJ-24'!B74</x:f>
        <x:v>87</x:v>
      </x:c>
      <x:c r="G12" s="91" t="n">
        <x:f>'PCJ-24'!B75</x:f>
        <x:v>2280000</x:v>
      </x:c>
      <x:c r="H12" s="91" t="n">
        <x:f>'PCJ-24'!B76</x:f>
        <x:v>-475539.99999999977</x:v>
      </x:c>
      <x:c r="I12" s="91" t="n">
        <x:f>'PCJ-24'!B77</x:f>
        <x:v>475539.99999999977</x:v>
      </x:c>
    </x:row>
    <x:row r="13" ht="43" customHeight="1">
      <x:c r="A13" s="88" t="str">
        <x:v>PCJ-25</x:v>
      </x:c>
      <x:c r="B13" s="90" t="str">
        <x:v>Staffing, Recruitment &amp; Payroll Services</x:v>
      </x:c>
      <x:c r="C13" s="91" t="n">
        <x:f>'PCJ-25'!B71</x:f>
        <x:v>2070000</x:v>
      </x:c>
      <x:c r="D13" s="91" t="n">
        <x:f>ROUND('PCJ-25'!B8*'PCJ-25'!B25,0)*'PCJ-25'!B9*'PCJ-25'!B26</x:f>
        <x:v>1800000</x:v>
      </x:c>
      <x:c r="E13" s="91" t="n">
        <x:f>ROUND('PCJ-25'!B8*'PCJ-25'!B25,0)*('PCJ-25'!B9*'PCJ-25'!B26-'PCJ-25'!B10*'PCJ-25'!B27)-'PCJ-25'!B11*'PCJ-25'!B28</x:f>
        <x:v>70000</x:v>
      </x:c>
      <x:c r="F13" s="91" t="n">
        <x:f>'PCJ-25'!B74</x:f>
        <x:v>40</x:v>
      </x:c>
      <x:c r="G13" s="91" t="n">
        <x:f>'PCJ-25'!B75</x:f>
        <x:v>682500</x:v>
      </x:c>
      <x:c r="H13" s="91" t="n">
        <x:f>'PCJ-25'!B76</x:f>
        <x:v>-887000</x:v>
      </x:c>
      <x:c r="I13" s="91" t="n">
        <x:f>'PCJ-25'!B77</x:f>
        <x:v>887000</x:v>
      </x:c>
    </x:row>
    <x:row r="14" ht="43" customHeight="1">
      <x:c r="A14" s="88" t="str">
        <x:v>PCJ-26</x:v>
      </x:c>
      <x:c r="B14" s="90" t="str">
        <x:v>Commercial Cleaning &amp; Facility Management</x:v>
      </x:c>
      <x:c r="C14" s="91" t="n">
        <x:f>'PCJ-26'!B71</x:f>
        <x:v>1720000</x:v>
      </x:c>
      <x:c r="D14" s="91" t="n">
        <x:f>ROUND('PCJ-26'!B8*'PCJ-26'!B25,0)*'PCJ-26'!B9*'PCJ-26'!B26</x:f>
        <x:v>840000</x:v>
      </x:c>
      <x:c r="E14" s="91" t="n">
        <x:f>ROUND('PCJ-26'!B8*'PCJ-26'!B25,0)*('PCJ-26'!B9*'PCJ-26'!B26-'PCJ-26'!B10*'PCJ-26'!B27)-'PCJ-26'!B11*'PCJ-26'!B28</x:f>
        <x:v>100000</x:v>
      </x:c>
      <x:c r="F14" s="91" t="n">
        <x:f>'PCJ-26'!B74</x:f>
        <x:v>7</x:v>
      </x:c>
      <x:c r="G14" s="91" t="n">
        <x:f>'PCJ-26'!B75</x:f>
        <x:v>1040000</x:v>
      </x:c>
      <x:c r="H14" s="91" t="n">
        <x:f>'PCJ-26'!B76</x:f>
        <x:v>45955</x:v>
      </x:c>
      <x:c r="I14" s="91" t="n">
        <x:f>'PCJ-26'!B77</x:f>
        <x:v>0</x:v>
      </x:c>
    </x:row>
    <x:row r="15" ht="43" customHeight="1">
      <x:c r="A15" s="88" t="str">
        <x:v>PCJ-27</x:v>
      </x:c>
      <x:c r="B15" s="90" t="str">
        <x:v>Medical Equipment Rental &amp; Home Mobility</x:v>
      </x:c>
      <x:c r="C15" s="91" t="n">
        <x:f>'PCJ-27'!B71</x:f>
        <x:v>2780000</x:v>
      </x:c>
      <x:c r="D15" s="91" t="n">
        <x:f>ROUND('PCJ-27'!B8*'PCJ-27'!B25,0)*'PCJ-27'!B9*'PCJ-27'!B26</x:f>
        <x:v>420000</x:v>
      </x:c>
      <x:c r="E15" s="91" t="n">
        <x:f>ROUND('PCJ-27'!B8*'PCJ-27'!B25,0)*('PCJ-27'!B9*'PCJ-27'!B26-'PCJ-27'!B10*'PCJ-27'!B27)-'PCJ-27'!B11*'PCJ-27'!B28</x:f>
        <x:v>88000</x:v>
      </x:c>
      <x:c r="F15" s="91" t="n">
        <x:f>'PCJ-27'!B74</x:f>
        <x:v>50</x:v>
      </x:c>
      <x:c r="G15" s="91" t="n">
        <x:f>'PCJ-27'!B75</x:f>
        <x:v>836000</x:v>
      </x:c>
      <x:c r="H15" s="91" t="n">
        <x:f>'PCJ-27'!B76</x:f>
        <x:v>490480</x:v>
      </x:c>
      <x:c r="I15" s="91" t="n">
        <x:f>'PCJ-27'!B77</x:f>
        <x:v>0</x:v>
      </x:c>
    </x:row>
    <x:row r="16" ht="43" customHeight="1">
      <x:c r="A16" s="88" t="str">
        <x:v>PCJ-28</x:v>
      </x:c>
      <x:c r="B16" s="90" t="str">
        <x:v>EV Two-wheeler Service &amp; Diagnostics Workshop</x:v>
      </x:c>
      <x:c r="C16" s="91" t="n">
        <x:f>'PCJ-28'!B71</x:f>
        <x:v>1760000</x:v>
      </x:c>
      <x:c r="D16" s="91" t="n">
        <x:f>ROUND('PCJ-28'!B8*'PCJ-28'!B25,0)*'PCJ-28'!B9*'PCJ-28'!B26</x:f>
        <x:v>750000</x:v>
      </x:c>
      <x:c r="E16" s="91" t="n">
        <x:f>ROUND('PCJ-28'!B8*'PCJ-28'!B25,0)*('PCJ-28'!B9*'PCJ-28'!B26-'PCJ-28'!B10*'PCJ-28'!B27)-'PCJ-28'!B11*'PCJ-28'!B28</x:f>
        <x:v>100000</x:v>
      </x:c>
      <x:c r="F16" s="91" t="n">
        <x:f>'PCJ-28'!B74</x:f>
        <x:v>200</x:v>
      </x:c>
      <x:c r="G16" s="91" t="n">
        <x:f>'PCJ-28'!B75</x:f>
        <x:v>975000</x:v>
      </x:c>
      <x:c r="H16" s="91" t="n">
        <x:f>'PCJ-28'!B76</x:f>
        <x:v>382968.75000000006</x:v>
      </x:c>
      <x:c r="I16" s="91" t="n">
        <x:f>'PCJ-28'!B77</x:f>
        <x:v>0</x:v>
      </x:c>
    </x:row>
    <x:row r="17" ht="24" customHeight="1">
      <x:c r="A17" s="88"/>
      <x:c r="B17" s="88"/>
      <x:c r="C17" s="88"/>
      <x:c r="D17" s="88"/>
      <x:c r="E17" s="88"/>
      <x:c r="F17" s="88"/>
      <x:c r="G17" s="88"/>
      <x:c r="H17" s="88"/>
      <x:c r="I17" s="88"/>
    </x:row>
    <x:row r="18" ht="24" customHeight="1">
      <x:c r="A18" s="88"/>
      <x:c r="B18" s="88"/>
      <x:c r="C18" s="88"/>
      <x:c r="D18" s="88"/>
      <x:c r="E18" s="88"/>
      <x:c r="F18" s="88"/>
      <x:c r="G18" s="88"/>
      <x:c r="H18" s="88"/>
      <x:c r="I18" s="88"/>
    </x:row>
    <x:row r="19" ht="28" customHeight="1">
      <x:c r="A19" s="90" t="str">
        <x:v>Funding = installed assets + startup deposits + pre-opening expense + opening cash. The forecast separately funds stock and receivables. Negative cash is not repaired automatically; add actual funding or change the plan. Tax and later capex default to zero as unresolved inputs.</x:v>
      </x:c>
      <x:c r="B19" s="90"/>
      <x:c r="C19" s="90"/>
      <x:c r="D19" s="90"/>
      <x:c r="E19" s="90"/>
      <x:c r="F19" s="90"/>
      <x:c r="G19" s="90"/>
      <x:c r="H19" s="90"/>
      <x:c r="I19" s="90"/>
    </x:row>
    <x:row r="20" ht="28" customHeight="1">
      <x:c r="A20" s="90"/>
      <x:c r="B20" s="90"/>
      <x:c r="C20" s="90"/>
      <x:c r="D20" s="90"/>
      <x:c r="E20" s="90"/>
      <x:c r="F20" s="90"/>
      <x:c r="G20" s="90"/>
      <x:c r="H20" s="90"/>
      <x:c r="I20" s="90"/>
    </x:row>
    <x:row r="21" ht="24" customHeight="1">
      <x:c r="A21" s="2"/>
      <x:c r="B21" s="2"/>
      <x:c r="C21" s="2"/>
      <x:c r="D21" s="2"/>
      <x:c r="E21" s="2"/>
      <x:c r="F21" s="2"/>
      <x:c r="G21" s="2"/>
      <x:c r="H21" s="2"/>
      <x:c r="I21" s="2"/>
    </x:row>
    <x:row r="22" ht="24" customHeight="1">
      <x:c r="A22" s="2"/>
      <x:c r="B22" s="2"/>
      <x:c r="C22" s="2"/>
      <x:c r="D22" s="2"/>
      <x:c r="E22" s="2"/>
      <x:c r="F22" s="2"/>
      <x:c r="G22" s="2"/>
      <x:c r="H22" s="2"/>
      <x:c r="I22" s="2"/>
    </x:row>
    <x:row r="23" ht="24" customHeight="1">
      <x:c r="A23" s="119" t="str">
        <x:v>Code</x:v>
      </x:c>
      <x:c r="B23" s="119" t="str">
        <x:v>Model decision</x:v>
      </x:c>
      <x:c r="C23" s="119" t="str">
        <x:v>Meaning</x:v>
      </x:c>
      <x:c r="D23" s="2"/>
      <x:c r="E23" s="127" t="str">
        <x:v>INVALID INPUT / NOT VIABLE / CAPACITY: do not rely on outputs until resolved. FUNDING GAP: obtain actual funding or change the plan. ILLUSTRATIVE: no numerical blocker found, but legal approvals, tax and market viability are not certified.</x:v>
      </x:c>
      <x:c r="F23" s="127"/>
      <x:c r="G23" s="127"/>
      <x:c r="H23" s="127"/>
      <x:c r="I23" s="127"/>
    </x:row>
    <x:row r="24" ht="45" customHeight="1">
      <x:c r="A24" s="90" t="str">
        <x:v>PCJ-19</x:v>
      </x:c>
      <x:c r="B24" s="90" t="str">
        <x:f>'PCJ-19'!B78</x:f>
        <x:v>ILLUSTRATIVE</x:v>
      </x:c>
      <x:c r="C24" s="90" t="str">
        <x:v>Model only; not legal approval.</x:v>
      </x:c>
      <x:c r="D24" s="2"/>
      <x:c r="E24" s="127"/>
      <x:c r="F24" s="127"/>
      <x:c r="G24" s="127"/>
      <x:c r="H24" s="127"/>
      <x:c r="I24" s="127"/>
    </x:row>
    <x:row r="25" ht="45" customHeight="1">
      <x:c r="A25" s="90" t="str">
        <x:v>PCJ-20</x:v>
      </x:c>
      <x:c r="B25" s="90" t="str">
        <x:f>'PCJ-20'!B78</x:f>
        <x:v>ILLUSTRATIVE</x:v>
      </x:c>
      <x:c r="C25" s="90" t="str">
        <x:v>Model only; not legal approval.</x:v>
      </x:c>
      <x:c r="D25" s="2"/>
      <x:c r="E25" s="127"/>
      <x:c r="F25" s="127"/>
      <x:c r="G25" s="127"/>
      <x:c r="H25" s="127"/>
      <x:c r="I25" s="127"/>
    </x:row>
    <x:row r="26" ht="45" customHeight="1">
      <x:c r="A26" s="90" t="str">
        <x:v>PCJ-21</x:v>
      </x:c>
      <x:c r="B26" s="90" t="str">
        <x:f>'PCJ-21'!B78</x:f>
        <x:v>ILLUSTRATIVE</x:v>
      </x:c>
      <x:c r="C26" s="90" t="str">
        <x:v>Model only; not legal approval.</x:v>
      </x:c>
      <x:c r="D26" s="2"/>
      <x:c r="E26" s="127"/>
      <x:c r="F26" s="127"/>
      <x:c r="G26" s="127"/>
      <x:c r="H26" s="127"/>
      <x:c r="I26" s="127"/>
    </x:row>
    <x:row r="27" ht="45" customHeight="1">
      <x:c r="A27" s="90" t="str">
        <x:v>PCJ-22</x:v>
      </x:c>
      <x:c r="B27" s="90" t="str">
        <x:f>'PCJ-22'!B78</x:f>
        <x:v>FUNDING GAP</x:v>
      </x:c>
      <x:c r="C27" s="90" t="str">
        <x:v>Model only; not legal approval.</x:v>
      </x:c>
      <x:c r="D27" s="2"/>
      <x:c r="E27" s="2"/>
      <x:c r="F27" s="2"/>
      <x:c r="G27" s="2"/>
      <x:c r="H27" s="2"/>
      <x:c r="I27" s="2"/>
    </x:row>
    <x:row r="28" ht="45" customHeight="1">
      <x:c r="A28" s="90" t="str">
        <x:v>PCJ-23</x:v>
      </x:c>
      <x:c r="B28" s="90" t="str">
        <x:f>'PCJ-23'!B78</x:f>
        <x:v>ILLUSTRATIVE</x:v>
      </x:c>
      <x:c r="C28" s="90" t="str">
        <x:v>Model only; not legal approval.</x:v>
      </x:c>
      <x:c r="D28" s="2"/>
      <x:c r="E28" s="2"/>
      <x:c r="F28" s="2"/>
      <x:c r="G28" s="2"/>
      <x:c r="H28" s="2"/>
      <x:c r="I28" s="2"/>
    </x:row>
    <x:row r="29" ht="45" customHeight="1">
      <x:c r="A29" s="90" t="str">
        <x:v>PCJ-24</x:v>
      </x:c>
      <x:c r="B29" s="90" t="str">
        <x:f>'PCJ-24'!B78</x:f>
        <x:v>FUNDING GAP</x:v>
      </x:c>
      <x:c r="C29" s="90" t="str">
        <x:v>Model only; not legal approval.</x:v>
      </x:c>
      <x:c r="D29" s="2"/>
      <x:c r="E29" s="2"/>
      <x:c r="F29" s="2"/>
      <x:c r="G29" s="2"/>
      <x:c r="H29" s="2"/>
      <x:c r="I29" s="2"/>
    </x:row>
    <x:row r="30" ht="45" customHeight="1">
      <x:c r="A30" s="90" t="str">
        <x:v>PCJ-25</x:v>
      </x:c>
      <x:c r="B30" s="90" t="str">
        <x:f>'PCJ-25'!B78</x:f>
        <x:v>FUNDING GAP</x:v>
      </x:c>
      <x:c r="C30" s="90" t="str">
        <x:v>Model only; not legal approval.</x:v>
      </x:c>
      <x:c r="D30" s="2"/>
      <x:c r="E30" s="2"/>
      <x:c r="F30" s="2"/>
      <x:c r="G30" s="2"/>
      <x:c r="H30" s="2"/>
      <x:c r="I30" s="2"/>
    </x:row>
    <x:row r="31" ht="45" customHeight="1">
      <x:c r="A31" s="126" t="str">
        <x:v>PCJ-26</x:v>
      </x:c>
      <x:c r="B31" s="126" t="str">
        <x:f>'PCJ-26'!B78</x:f>
        <x:v>ILLUSTRATIVE</x:v>
      </x:c>
      <x:c r="C31" s="126" t="str">
        <x:v>Model only; not legal approval.</x:v>
      </x:c>
    </x:row>
    <x:row r="32" ht="45" customHeight="1">
      <x:c r="A32" s="126" t="str">
        <x:v>PCJ-27</x:v>
      </x:c>
      <x:c r="B32" s="126" t="str">
        <x:f>'PCJ-27'!B78</x:f>
        <x:v>ILLUSTRATIVE</x:v>
      </x:c>
      <x:c r="C32" s="126" t="str">
        <x:v>Model only; not legal approval.</x:v>
      </x:c>
    </x:row>
    <x:row r="33" ht="45" customHeight="1">
      <x:c r="A33" s="126" t="str">
        <x:v>PCJ-28</x:v>
      </x:c>
      <x:c r="B33" s="126" t="str">
        <x:f>'PCJ-28'!B78</x:f>
        <x:v>ILLUSTRATIVE</x:v>
      </x:c>
      <x:c r="C33" s="126" t="str">
        <x:v>Model only; not legal approval.</x:v>
      </x:c>
    </x:row>
  </x:sheetData>
  <x:mergeCells>
    <x:mergeCell ref="A1:I2"/>
    <x:mergeCell ref="A3:I4"/>
    <x:mergeCell ref="A19:I20"/>
    <x:mergeCell ref="E23:I26"/>
  </x:mergeCells>
  <x:conditionalFormatting sqref="H7:I16">
    <x:cfRule type="expression" dxfId="20" priority="1">
      <x:formula>$I7&gt;0</x:formula>
    </x:cfRule>
  </x:conditionalFormatting>
  <x:pageMargins left="0.7" right="0.7" top="0.75" bottom="0.75" header="0.3" footer="0.3"/>
</x:worksheet>
</file>

<file path=xl/worksheets/sheet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2" hidden="0" customWidth="1"/>
    <x:col min="2" max="2" width="30" hidden="0" customWidth="1"/>
    <x:col min="3" max="3" width="55" hidden="0" customWidth="1"/>
    <x:col min="4" max="4" width="55" hidden="0" customWidth="1"/>
    <x:col min="5" max="5" width="48" hidden="0" customWidth="1"/>
    <x:col min="6" max="6" width="32" hidden="0" customWidth="1"/>
  </x:cols>
  <x:sheetData>
    <x:row r="1" ht="35" customHeight="1">
      <x:c r="A1" s="22" t="str">
        <x:v>Code</x:v>
      </x:c>
      <x:c r="B1" s="22" t="str">
        <x:v>Business</x:v>
      </x:c>
      <x:c r="C1" s="22" t="str">
        <x:v>Selection basis / limitation</x:v>
      </x:c>
      <x:c r="D1" s="22" t="str">
        <x:v>Local paid-demand test</x:v>
      </x:c>
      <x:c r="E1" s="22" t="str">
        <x:v>Official context URL</x:v>
      </x:c>
      <x:c r="F1" s="22" t="str">
        <x:v>Classification</x:v>
      </x:c>
    </x:row>
    <x:row r="2" ht="110" customHeight="1">
      <x:c r="A2" s="81" t="str">
        <x:v>PCJ-19</x:v>
      </x:c>
      <x:c r="B2" s="81" t="str">
        <x:v>AI Automation &amp; B2B Workflow Studio</x:v>
      </x:c>
      <x:c r="C2" s="81" t="str">
        <x:v>NITI Aayog’s AI opportunity report identifies productivity opportunities alongside adoption barriers such as data readiness and skills. That supports a testable SME workflow-services thesis, not proof that every small company will pay for an AI subscription. The attractive demand is a repeated, expensive process with an identifiable budget owner; the weak demand is enthusiasm for a demonstration without authorised data or an implementation budget.</x:v>
      </x:c>
      <x:c r="D2" s="81" t="str">
        <x:v>Interview 15 potential buyers in one vertical. Obtain anonymised examples of the same recurring task, measure handling time and exceptions, and sell three fixed-scope discovery engagements. Choose the vertical only after at least one buyer accepts paid implementation terms. Treat these counts as an experiment design, not a published conversion benchmark.</x:v>
      </x:c>
      <x:c r="E2" s="81" t="str">
        <x:v>https://www.niti.gov.in/sites/default/files/2025-09/AI-for-Viksit-Bharat-the-opportunity-for-accelerated-economic-growth.pdf</x:v>
      </x:c>
      <x:c r="F2" s="81" t="str">
        <x:v>Policy context plus original local-demand test</x:v>
      </x:c>
    </x:row>
    <x:row r="3" ht="110" customHeight="1">
      <x:c r="A3" s="81" t="str">
        <x:v>PCJ-20</x:v>
      </x:c>
      <x:c r="B3" s="81" t="str">
        <x:v>EV Charging Station &amp; Fleet Depot</x:v>
      </x:c>
      <x:c r="C3" s="81" t="str">
        <x:v>The Ministry of Heavy Industries’ charging guidelines create a public-infrastructure programme and a route for selected charge point operators. This is a policy-backed opportunity signal, not evidence that an unserved-looking location will have paying traffic. Fleet contracts can make demand more observable, while an attractive public site can still have very low utilisation or an expensive connection.</x:v>
      </x:c>
      <x:c r="D3" s="81" t="str">
        <x:v>Observe vehicle arrivals and dwell time over a representative week, interview fleet managers and obtain an indicative DISCOM connection assessment before paying a non-refundable site premium. Test revenue at a low utilisation level and delayed opening. Prefer evidence of energy demand, access rights and a bankable customer contract over traffic counts alone.</x:v>
      </x:c>
      <x:c r="E3" s="81" t="str">
        <x:v>https://pmedrive.heavyindustries.gov.in/docs/policy_document/EV%20PCS%20operational%20guidelines_F.pdf</x:v>
      </x:c>
      <x:c r="F3" s="81" t="str">
        <x:v>Policy context plus original local-demand test</x:v>
      </x:c>
    </x:row>
    <x:row r="4" ht="110" customHeight="1">
      <x:c r="A4" s="81" t="str">
        <x:v>PCJ-21</x:v>
      </x:c>
      <x:c r="B4" s="81" t="str">
        <x:v>Home Healthcare &amp; Elder-care Services</x:v>
      </x:c>
      <x:c r="C4" s="81" t="str">
        <x:v>Home-care is an editorial opportunity thesis, not a verified national demand ranking. Validate local families’ willingness to pay, access to qualified staff, travel time, continuity requirements and the actual clinical/non-clinical mix. Population need alone does not establish a profitable local service.</x:v>
      </x:c>
      <x:c r="D4" s="81" t="str">
        <x:v>Interview families and legitimate discharge-care coordinators without collecting unnecessary patient records. Test three paid, fully staffed care plans with documented service boundaries and backup cover. Compare realised fees with complete shift cost, supervision, travel, leave and replacement needs. Do not recruit vulnerable workers into commitments the agency cannot honour.</x:v>
      </x:c>
      <x:c r="E4" s="81" t="str">
        <x:v>https://clinicalestablishments.mohfw.gov.in/en/state-and-uts-rules-and-notification</x:v>
      </x:c>
      <x:c r="F4" s="81" t="str">
        <x:v>Original commercial thesis; no measured national demand ranking</x:v>
      </x:c>
    </x:row>
    <x:row r="5" ht="110" customHeight="1">
      <x:c r="A5" s="81" t="str">
        <x:v>PCJ-22</x:v>
      </x:c>
      <x:c r="B5" s="81" t="str">
        <x:v>Packaged Food Processing &amp; Private-label Brand</x:v>
      </x:c>
      <x:c r="C5" s="81" t="str">
        <x:v>The Ministry of Food Processing Industries’ micro-enterprise programme shows policy attention to formalising and upgrading food businesses. It does not prove demand for a particular snack, spice mix or meal product. The commercial opportunity is a product with a clear eating occasion, a reliable manufacturing process and repeat orders after retailer margins, discounts, returns and freight.</x:v>
      </x:c>
      <x:c r="D5" s="81" t="str">
        <x:v>Choose two products and one geographic channel. Conduct a compliant pilot with documented batches and feedback, then measure paid repeat orders rather than free-sample approval. Obtain retailer or institutional buyer terms in writing. Test contribution after expiry returns, sampling, packaging and credit; do not expand the range before traceability and repeat demand work.</x:v>
      </x:c>
      <x:c r="E5" s="81" t="str">
        <x:v>https://foscos.fssai.gov.in/public/assets/docs/Revised_2ndApril2026KindofBusinessEligibility.pdf</x:v>
      </x:c>
      <x:c r="F5" s="81" t="str">
        <x:v>Policy context plus original local-demand test</x:v>
      </x:c>
    </x:row>
    <x:row r="6" ht="110" customHeight="1">
      <x:c r="A6" s="81" t="str">
        <x:v>PCJ-23</x:v>
      </x:c>
      <x:c r="B6" s="81" t="str">
        <x:v>Retail Pharmacy &amp; Jan Aushadhi</x:v>
      </x:c>
      <x:c r="C6" s="81" t="str">
        <x:v>The official Jan Aushadhi programme provides an established affordable-medicine retail channel. Its existence supports a service-need and channel opportunity, not a guaranteed return for a particular shop. Site demand depends on lawful customer access, nearby supply, product availability, prescription patterns, patient trust and the cost of maintaining qualified staffing and inventory.</x:v>
      </x:c>
      <x:c r="D6" s="81" t="str">
        <x:v>Study a realistic catchment, lawful referral opportunities, competitor service gaps and availability of qualified pharmacists. Obtain supplier terms and a stock list based on expected demand. Test cash economics without scheme incentives and with slow-moving stock. Avoid paying a large lease premium before premises suitability and the licensing route are settled.</x:v>
      </x:c>
      <x:c r="E6" s="81" t="str">
        <x:v>https://www.pmbi.co.in/index.aspx</x:v>
      </x:c>
      <x:c r="F6" s="81" t="str">
        <x:v>Policy context plus original local-demand test</x:v>
      </x:c>
    </x:row>
    <x:row r="7" ht="110" customHeight="1">
      <x:c r="A7" s="81" t="str">
        <x:v>PCJ-24</x:v>
      </x:c>
      <x:c r="B7" s="81" t="str">
        <x:v>Electronics Repair &amp; Refurbishment</x:v>
      </x:c>
      <x:c r="C7" s="81" t="str">
        <x:v>The official e-waste framework recognises refurbishing as a distinct activity, while repair and reuse offer an operational proposition for customers who value lower replacement cost. This is a circular-economy and service thesis, not a measured national resale growth ranking. Demand must be demonstrated by device category, sourcing quality, repairability and the customer’s willingness to pay for a clear warranty.</x:v>
      </x:c>
      <x:c r="D7" s="81" t="str">
        <x:v>Choose one device family and run a controlled paid repair pilot before purchasing mixed bulk lots. Record acquisition cost, diagnostic failure, parts, technician time, rework, returns and eventual recovery value. Obtain proof of ownership and a lawful data-handling process for every unit. Expand only when fully loaded contribution survives realistic warranty failures.</x:v>
      </x:c>
      <x:c r="E7" s="81" t="str">
        <x:v>https://mpcb.gov.in/sites/default/files/Establishment%20of%20MPCB/Seniority%20list/2014/E-Waste_Management_Rules-2022.pdf</x:v>
      </x:c>
      <x:c r="F7" s="81" t="str">
        <x:v>Original commercial thesis; no measured national demand ranking</x:v>
      </x:c>
    </x:row>
    <x:row r="8" ht="110" customHeight="1">
      <x:c r="A8" s="81" t="str">
        <x:v>PCJ-25</x:v>
      </x:c>
      <x:c r="B8" s="81" t="str">
        <x:v>Staffing, Recruitment &amp; Payroll Services</x:v>
      </x:c>
      <x:c r="C8" s="81" t="str">
        <x:v>A recurring outsourced-workforce proposition can serve employers that need reliable hiring and payroll execution. The Labour Code transition makes accurate implementation a relevant service need, but it is not evidence of a measured staffing-market growth rate. This batch selects staffing as a contract-led opportunity: actual employer mandates and payment quality must establish demand before headcount is deployed.</x:v>
      </x:c>
      <x:c r="D8" s="81" t="str">
        <x:v>Choose one job family and obtain three genuine employer mandates with signed fees or deployment terms. Test candidate availability, attendance, replacement effort and client payment behaviour. For staffing, model at least one delayed collection cycle and fund the payroll independently of an optimistic invoice date. These are recommended validation tests, not legal thresholds.</x:v>
      </x:c>
      <x:c r="E8" s="81" t="str">
        <x:v>https://www.pib.gov.in/PressReleasePage.aspx?PRID=2192463</x:v>
      </x:c>
      <x:c r="F8" s="81" t="str">
        <x:v>Original commercial thesis; no measured national demand ranking</x:v>
      </x:c>
    </x:row>
    <x:row r="9" ht="110" customHeight="1">
      <x:c r="A9" s="81" t="str">
        <x:v>PCJ-26</x:v>
      </x:c>
      <x:c r="B9" s="81" t="str">
        <x:v>Commercial Cleaning &amp; Facility Management</x:v>
      </x:c>
      <x:c r="C9" s="81" t="str">
        <x:v>Recurring premises services can support repeat B2B contracts where a buyer values reliable quality, documented staffing and prompt complaint resolution. This is an editorial contract-demand thesis, not a published national growth estimate. The strongest evidence is a paid site trial or signed contract with a realistic service specification, not the size of a city’s building stock.</x:v>
      </x:c>
      <x:c r="D9" s="81" t="str">
        <x:v>Survey five accessible sites, measure cleanable area and task frequency, and quote a paid trial for one tightly defined scope. Observe productivity and consumable use safely rather than using an unsupported square-foot benchmark. Obtain written payment and acceptance terms. Stress-test relief staffing, wage revisions and a delayed client payment before signing a large contract.</x:v>
      </x:c>
      <x:c r="E9" s="81" t="str">
        <x:v>https://www.pib.gov.in/PressReleasePage.aspx?PRID=2192463</x:v>
      </x:c>
      <x:c r="F9" s="81" t="str">
        <x:v>Original commercial thesis; no measured national demand ranking</x:v>
      </x:c>
    </x:row>
    <x:row r="10" ht="110" customHeight="1">
      <x:c r="A10" s="81" t="str">
        <x:v>PCJ-27</x:v>
      </x:c>
      <x:c r="B10" s="81" t="str">
        <x:v>Medical Equipment Rental &amp; Home Mobility</x:v>
      </x:c>
      <x:c r="C10" s="81" t="str">
        <x:v>Rental can address temporary equipment needs without a customer buying an asset, but this is a commercial hypothesis rather than measured demand. Validate prescribed needs, lawful product supply, referral relationships, safe utilisation and paying customer demand in the actual catchment.</x:v>
      </x:c>
      <x:c r="D10" s="81" t="str">
        <x:v>Interview legitimate care providers and families about duration, delivery and service needs without making clinical recommendations. Start with a small assessed fleet and record paid rental days, downtime, cleaning, transport, repairs and bad debts. Test at low utilisation and exclude deposits from revenue. Expand only when maintenance and retrieval work reliably.</x:v>
      </x:c>
      <x:c r="E10" s="81" t="str">
        <x:v>https://cdsco.gov.in/opencms/opencms/en/Acts-and-rules/Medical-Devices-Rules/</x:v>
      </x:c>
      <x:c r="F10" s="81" t="str">
        <x:v>Original commercial thesis; no measured national demand ranking</x:v>
      </x:c>
    </x:row>
    <x:row r="11" ht="110" customHeight="1">
      <x:c r="A11" s="81" t="str">
        <x:v>PCJ-28</x:v>
      </x:c>
      <x:c r="B11" s="81" t="str">
        <x:v>EV Two-wheeler Service &amp; Diagnostics Workshop</x:v>
      </x:c>
      <x:c r="C11" s="81" t="str">
        <x:v>PM E-DRIVE’s focus on electric two- and three-wheelers provides a policy signal around the EV ecosystem. The service-business opportunity is an inference: vehicles that operate need reliable support, but warranty networks, local model mix, parts access and technician competence determine who can serve them profitably. Scheme targets are not actual local vehicles or guaranteed workshop customers.</x:v>
      </x:c>
      <x:c r="D11" s="81" t="str">
        <x:v>Map the supported vehicles actually operating nearby, interview owners and fleet supervisors and verify parts/software access before leasing a large workshop. Run a paid pilot within safe competence, tracking diagnostic time, parts lead time, repeat faults and payment. Avoid basing the plan on a national scheme target or on unauthorised battery-repair claims.</x:v>
      </x:c>
      <x:c r="E11" s="81" t="str">
        <x:v>https://pmedrive.heavyindustries.gov.in/policy_document</x:v>
      </x:c>
      <x:c r="F11" s="81" t="str">
        <x:v>Policy context plus original local-demand test</x:v>
      </x:c>
    </x:row>
  </x:sheetData>
  <x:pageMargins left="0.7" right="0.7" top="0.75" bottom="0.75" header="0.3" footer="0.3"/>
</x:worksheet>
</file>

<file path=xl/worksheets/sheet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3" hidden="0" customWidth="1"/>
    <x:col min="2" max="2" width="44" hidden="0" customWidth="1"/>
    <x:col min="3" max="3" width="55" hidden="0" customWidth="1"/>
    <x:col min="4" max="4" width="60" hidden="0" customWidth="1"/>
    <x:col min="5" max="5" width="36" hidden="0" customWidth="1"/>
    <x:col min="6" max="6" width="30" hidden="0" customWidth="1"/>
  </x:cols>
  <x:sheetData>
    <x:row r="1" ht="30" customHeight="1">
      <x:c r="A1" s="123" t="str">
        <x:v>ID</x:v>
      </x:c>
      <x:c r="B1" s="123" t="str">
        <x:v>Official reference</x:v>
      </x:c>
      <x:c r="C1" s="123" t="str">
        <x:v>URL</x:v>
      </x:c>
      <x:c r="D1" s="123" t="str">
        <x:v>Use and scope</x:v>
      </x:c>
      <x:c r="E1" s="123" t="str">
        <x:v>Reference type</x:v>
      </x:c>
      <x:c r="F1" s="123" t="str">
        <x:v>Used by</x:v>
      </x:c>
    </x:row>
    <x:row r="2" ht="76" customHeight="1">
      <x:c r="A2" s="81" t="str">
        <x:v>AI</x:v>
      </x:c>
      <x:c r="B2" s="81" t="str">
        <x:v>NITI Aayog — AI for Viksit Bharat, September 2025</x:v>
      </x:c>
      <x:c r="C2" s="81" t="str">
        <x:v>https://www.niti.gov.in/sites/default/files/2025-09/AI-for-Viksit-Bharat-the-opportunity-for-accelerated-economic-growth.pdf</x:v>
      </x:c>
      <x:c r="D2" s="81" t="str">
        <x:v>Policy scenarios and adoption barriers; not realised demand for an individual studio.</x:v>
      </x:c>
      <x:c r="E2" s="81" t="str">
        <x:v>Official guidance / document</x:v>
      </x:c>
      <x:c r="F2" s="81" t="str">
        <x:v>PCJ-19</x:v>
      </x:c>
    </x:row>
    <x:row r="3" ht="76" customHeight="1">
      <x:c r="A3" s="81" t="str">
        <x:v>CERT</x:v>
      </x:c>
      <x:c r="B3" s="81" t="str">
        <x:v>CERT-In — directions and explanatory documents</x:v>
      </x:c>
      <x:c r="C3" s="81" t="str">
        <x:v>https://www.cert-in.org.in/Directions70B.jsp</x:v>
      </x:c>
      <x:c r="D3" s="81" t="str">
        <x:v>Official directory for the April 2022 directions; read explanatory FAQs and the controlling directions together.</x:v>
      </x:c>
      <x:c r="E3" s="81" t="str">
        <x:v>Official portal / repository</x:v>
      </x:c>
      <x:c r="F3" s="81" t="str">
        <x:v>PCJ-19, PCJ-24, PCJ-25</x:v>
      </x:c>
    </x:row>
    <x:row r="4" ht="76" customHeight="1">
      <x:c r="A4" s="81" t="str">
        <x:v>DPDP</x:v>
      </x:c>
      <x:c r="B4" s="81" t="str">
        <x:v>MeitY — DPDP Act phased commencement, G.S.R. 843(E)</x:v>
      </x:c>
      <x:c r="C4" s="81" t="str">
        <x:v>https://www.meity.gov.in/static/uploads/2025/11/c56ceae6c383460ca69577428d36828b.pdf</x:v>
      </x:c>
      <x:c r="D4" s="81" t="str">
        <x:v>Immediate, one-year and eighteen-month provision groups run from Gazette publication; map each duty separately.</x:v>
      </x:c>
      <x:c r="E4" s="81" t="str">
        <x:v>Official guidance / document</x:v>
      </x:c>
      <x:c r="F4" s="81" t="str">
        <x:v>PCJ-19, PCJ-21, PCJ-24, PCJ-25, PCJ-26, PCJ-27</x:v>
      </x:c>
    </x:row>
    <x:row r="5" ht="76" customHeight="1">
      <x:c r="A5" s="81" t="str">
        <x:v>EV</x:v>
      </x:c>
      <x:c r="B5" s="81" t="str">
        <x:v>MHI — EV public charging operational guidelines, 26 September 2025</x:v>
      </x:c>
      <x:c r="C5" s="81" t="str">
        <x:v>https://pmedrive.heavyindustries.gov.in/docs/policy_document/EV%20PCS%20operational%20guidelines_F.pdf</x:v>
      </x:c>
      <x:c r="D5" s="81" t="str">
        <x:v>Scheme-specific eligible entities, nodal route, operator engagement and cost conditions; not a private operator sanction.</x:v>
      </x:c>
      <x:c r="E5" s="81" t="str">
        <x:v>Official guidance / document</x:v>
      </x:c>
      <x:c r="F5" s="81" t="str">
        <x:v>PCJ-20</x:v>
      </x:c>
    </x:row>
    <x:row r="6" ht="76" customHeight="1">
      <x:c r="A6" s="81" t="str">
        <x:v>EVPORTAL</x:v>
      </x:c>
      <x:c r="B6" s="81" t="str">
        <x:v>MHI — PM E-DRIVE notification register</x:v>
      </x:c>
      <x:c r="C6" s="81" t="str">
        <x:v>https://pmedrive.heavyindustries.gov.in/policy_document</x:v>
      </x:c>
      <x:c r="D6" s="81" t="str">
        <x:v>Use the relevant category and dated amendment; a common programme date does not establish every category deadline.</x:v>
      </x:c>
      <x:c r="E6" s="81" t="str">
        <x:v>Official portal / repository</x:v>
      </x:c>
      <x:c r="F6" s="81" t="str">
        <x:v>PCJ-20, PCJ-28</x:v>
      </x:c>
    </x:row>
    <x:row r="7" ht="76" customHeight="1">
      <x:c r="A7" s="81" t="str">
        <x:v>CLINICAL</x:v>
      </x:c>
      <x:c r="B7" s="81" t="str">
        <x:v>MoHFW — State and UT clinical-establishment rules</x:v>
      </x:c>
      <x:c r="C7" s="81" t="str">
        <x:v>https://clinicalestablishments.mohfw.gov.in/en/state-and-uts-rules-and-notification</x:v>
      </x:c>
      <x:c r="D7" s="81" t="str">
        <x:v>State adoption and separate State laws differ; determine how the actual home-care activity is regulated.</x:v>
      </x:c>
      <x:c r="E7" s="81" t="str">
        <x:v>Official portal / repository</x:v>
      </x:c>
      <x:c r="F7" s="81" t="str">
        <x:v>PCJ-21, PCJ-27</x:v>
      </x:c>
    </x:row>
    <x:row r="8" ht="76" customHeight="1">
      <x:c r="A8" s="81" t="str">
        <x:v>FOOD</x:v>
      </x:c>
      <x:c r="B8" s="81" t="str">
        <x:v>FoSCoS — activity eligibility and fee reference</x:v>
      </x:c>
      <x:c r="C8" s="81" t="str">
        <x:v>https://foscos.fssai.gov.in/public/assets/docs/Revised_2ndApril2026KindofBusinessEligibility.pdf</x:v>
      </x:c>
      <x:c r="D8" s="81" t="str">
        <x:v>Select manufacturing, repacking, relabelling, marketing, storage or other actual kind of business before choosing a licence and fee.</x:v>
      </x:c>
      <x:c r="E8" s="81" t="str">
        <x:v>Official guidance / document</x:v>
      </x:c>
      <x:c r="F8" s="81" t="str">
        <x:v>PCJ-22</x:v>
      </x:c>
    </x:row>
    <x:row r="9" ht="76" customHeight="1">
      <x:c r="A9" s="81" t="str">
        <x:v>FOODREG</x:v>
      </x:c>
      <x:c r="B9" s="81" t="str">
        <x:v>FSSAI — food regulations and amendment repository</x:v>
      </x:c>
      <x:c r="C9" s="81" t="str">
        <x:v>https://www.fssai.gov.in/cms/food-safety-and-standards-regulations.php</x:v>
      </x:c>
      <x:c r="D9" s="81" t="str">
        <x:v>Retrieve the operative product, packaging, labelling, claims and recall provisions for the actual SKU.</x:v>
      </x:c>
      <x:c r="E9" s="81" t="str">
        <x:v>Official portal / repository</x:v>
      </x:c>
      <x:c r="F9" s="81" t="str">
        <x:v>PCJ-22</x:v>
      </x:c>
    </x:row>
    <x:row r="10" ht="76" customHeight="1">
      <x:c r="A10" s="81" t="str">
        <x:v>PMFME</x:v>
      </x:c>
      <x:c r="B10" s="81" t="str">
        <x:v>MoFPI — individual micro-food enterprise assistance framework</x:v>
      </x:c>
      <x:c r="C10" s="81" t="str">
        <x:v>https://mofpi.gov.in/pmfme/shgs-fpos-co-operatives-individual-micro-food-enterprise</x:v>
      </x:c>
      <x:c r="D10" s="81" t="str">
        <x:v>Historical scheme description, last updated February 2021; current intake, eligibility and sanction require separate evidence.</x:v>
      </x:c>
      <x:c r="E10" s="81" t="str">
        <x:v>Historical scheme description</x:v>
      </x:c>
      <x:c r="F10" s="81" t="str">
        <x:v>PCJ-22</x:v>
      </x:c>
    </x:row>
    <x:row r="11" ht="76" customHeight="1">
      <x:c r="A11" s="81" t="str">
        <x:v>PMBI</x:v>
      </x:c>
      <x:c r="B11" s="81" t="str">
        <x:v>PMBI — programme and official notices</x:v>
      </x:c>
      <x:c r="C11" s="81" t="str">
        <x:v>https://www.pmbi.co.in/index.aspx</x:v>
      </x:c>
      <x:c r="D11" s="81" t="str">
        <x:v>Programme entry point; use the dated opening guidelines and incentive circular for their specific terms.</x:v>
      </x:c>
      <x:c r="E11" s="81" t="str">
        <x:v>Official portal / repository</x:v>
      </x:c>
      <x:c r="F11" s="81" t="str">
        <x:v>PCJ-23</x:v>
      </x:c>
    </x:row>
    <x:row r="12" ht="76" customHeight="1">
      <x:c r="A12" s="81" t="str">
        <x:v>DRUGS</x:v>
      </x:c>
      <x:c r="B12" s="81" t="str">
        <x:v>CDSCO — Drugs Rules and amendments</x:v>
      </x:c>
      <x:c r="C12" s="81" t="str">
        <x:v>https://cdsco.gov.in/opencms/opencms/en/Acts-and-rules/Drugs-Rules/</x:v>
      </x:c>
      <x:c r="D12" s="81" t="str">
        <x:v>Drug-category and State retail/wholesale licensing route; actual form, fee and current licence conditions must match the activity.</x:v>
      </x:c>
      <x:c r="E12" s="81" t="str">
        <x:v>Official portal / repository</x:v>
      </x:c>
      <x:c r="F12" s="81" t="str">
        <x:v>PCJ-23</x:v>
      </x:c>
    </x:row>
    <x:row r="13" ht="76" customHeight="1">
      <x:c r="A13" s="81" t="str">
        <x:v>DEVICES</x:v>
      </x:c>
      <x:c r="B13" s="81" t="str">
        <x:v>CDSCO — Medical Devices Rules and amendments</x:v>
      </x:c>
      <x:c r="C13" s="81" t="str">
        <x:v>https://cdsco.gov.in/opencms/opencms/en/Acts-and-rules/Medical-Devices-Rules/</x:v>
      </x:c>
      <x:c r="D13" s="81" t="str">
        <x:v>Rules and amendments repository; combine the item classification, actual transaction and State licensing decision.</x:v>
      </x:c>
      <x:c r="E13" s="81" t="str">
        <x:v>Official portal / repository</x:v>
      </x:c>
      <x:c r="F13" s="81" t="str">
        <x:v>PCJ-23, PCJ-27</x:v>
      </x:c>
    </x:row>
    <x:row r="14" ht="76" customHeight="1">
      <x:c r="A14" s="81" t="str">
        <x:v>EWASTE</x:v>
      </x:c>
      <x:c r="B14" s="81" t="str">
        <x:v>MPCB-hosted Gazette — E-Waste (Management) Rules, 2022</x:v>
      </x:c>
      <x:c r="C14" s="81" t="str">
        <x:v>https://mpcb.gov.in/sites/default/files/Establishment%20of%20MPCB/Seniority%20list/2014/E-Waste_Management_Rules-2022.pdf</x:v>
      </x:c>
      <x:c r="D14" s="81" t="str">
        <x:v>Base rule 2 exclusions and Schedule I scope; use applicable later amendments and actual business classification.</x:v>
      </x:c>
      <x:c r="E14" s="81" t="str">
        <x:v>Official guidance / document</x:v>
      </x:c>
      <x:c r="F14" s="81" t="str">
        <x:v>PCJ-24</x:v>
      </x:c>
    </x:row>
    <x:row r="15" ht="76" customHeight="1">
      <x:c r="A15" s="81" t="str">
        <x:v>EWASTEINDEX</x:v>
      </x:c>
      <x:c r="B15" s="81" t="str">
        <x:v>MPCB — e-waste rules, amendments and operating procedures</x:v>
      </x:c>
      <x:c r="C15" s="81" t="str">
        <x:v>https://mpcb.gov.in/en/waste-management/electronic-waste</x:v>
      </x:c>
      <x:c r="D15" s="81" t="str">
        <x:v>English catalogue provides the 2022 base, subsequent listed amendments, refurbisher SOP and FAQs.</x:v>
      </x:c>
      <x:c r="E15" s="81" t="str">
        <x:v>Official portal / repository</x:v>
      </x:c>
      <x:c r="F15" s="81" t="str">
        <x:v>PCJ-24, PCJ-28</x:v>
      </x:c>
    </x:row>
    <x:row r="16" ht="76" customHeight="1">
      <x:c r="A16" s="81" t="str">
        <x:v>BATTERY</x:v>
      </x:c>
      <x:c r="B16" s="81" t="str">
        <x:v>MPCB-hosted battery producer registration SOP</x:v>
      </x:c>
      <x:c r="C16" s="81" t="str">
        <x:v>https://mpcb.gov.in/sites/default/files/producer_bwm.pdf</x:v>
      </x:c>
      <x:c r="D16" s="81" t="str">
        <x:v>Producer scope is distinct from ordinary service, refurbishing or recycling; do not use this SOP as workshop authorisation.</x:v>
      </x:c>
      <x:c r="E16" s="81" t="str">
        <x:v>Official guidance / document</x:v>
      </x:c>
      <x:c r="F16" s="81" t="str">
        <x:v>PCJ-24, PCJ-28</x:v>
      </x:c>
    </x:row>
    <x:row r="17" ht="76" customHeight="1">
      <x:c r="A17" s="81" t="str">
        <x:v>LABOUR</x:v>
      </x:c>
      <x:c r="B17" s="81" t="str">
        <x:v>Ministry of Labour / PIB — Labour Codes commencement and transition</x:v>
      </x:c>
      <x:c r="C17" s="81" t="str">
        <x:v>https://www.pib.gov.in/PressReleasePage.aspx?PRID=2192463</x:v>
      </x:c>
      <x:c r="D17" s="81" t="str">
        <x:v>21 November 2025 commencement announcement; the release also preserves relevant existing provisions/rules/schemes during transition.</x:v>
      </x:c>
      <x:c r="E17" s="81" t="str">
        <x:v>Official guidance / document</x:v>
      </x:c>
      <x:c r="F17" s="81" t="str">
        <x:v>PCJ-19, PCJ-20, PCJ-21, PCJ-22, PCJ-23, PCJ-24, PCJ-25, PCJ-26, PCJ-27, PCJ-28</x:v>
      </x:c>
    </x:row>
    <x:row r="18" ht="76" customHeight="1">
      <x:c r="A18" s="81" t="str">
        <x:v>SANITATION</x:v>
      </x:c>
      <x:c r="B18" s="81" t="str">
        <x:v>India Code — Manual Scavengers and Rehabilitation Act, 2013</x:v>
      </x:c>
      <x:c r="C18" s="81" t="str">
        <x:v>https://www.indiacode.nic.in/handle/123456789/2119</x:v>
      </x:c>
      <x:c r="D18" s="81" t="str">
        <x:v>Hazardous sewer/septic-tank cleaning is outside this ordinary facilities service; obtain competent legal and safety review for separate work.</x:v>
      </x:c>
      <x:c r="E18" s="81" t="str">
        <x:v>Official portal / repository</x:v>
      </x:c>
      <x:c r="F18" s="81" t="str">
        <x:v>PCJ-26</x:v>
      </x:c>
    </x:row>
    <x:row r="19" ht="76" customHeight="1">
      <x:c r="A19" s="81" t="str">
        <x:v>TAX</x:v>
      </x:c>
      <x:c r="B19" s="81" t="str">
        <x:v>CBDT — Income-tax Act, 2025 commencement</x:v>
      </x:c>
      <x:c r="C19" s="81" t="str">
        <x:v>https://www.incometaxindia.gov.in/documents/d/guest/press-release-income-tax-act-2025-comes-into-force-from-01-april-2026-pdf</x:v>
      </x:c>
      <x:c r="D19" s="81" t="str">
        <x:v>Act effective 1 April 2026; match the year, operative provisions and forms. This press release is not a transaction-specific tax computation.</x:v>
      </x:c>
      <x:c r="E19" s="81" t="str">
        <x:v>Official guidance / document</x:v>
      </x:c>
      <x:c r="F19" s="81" t="str">
        <x:v>PCJ-19, PCJ-20, PCJ-21, PCJ-22, PCJ-23, PCJ-24, PCJ-25, PCJ-26, PCJ-27, PCJ-28</x:v>
      </x:c>
    </x:row>
    <x:row r="20" ht="76" customHeight="1">
      <x:c r="A20" s="81" t="str">
        <x:v>GST</x:v>
      </x:c>
      <x:c r="B20" s="81" t="str">
        <x:v>GST Council — central GST legislation and notifications</x:v>
      </x:c>
      <x:c r="C20" s="81" t="str">
        <x:v>https://gstcouncil.gov.in/central-gst</x:v>
      </x:c>
      <x:c r="D20" s="81" t="str">
        <x:v>Discovery route. The linked 2021 consolidated rules are a historical baseline, not a complete October 2026 consolidation.</x:v>
      </x:c>
      <x:c r="E20" s="81" t="str">
        <x:v>Official portal / repository</x:v>
      </x:c>
      <x:c r="F20" s="81" t="str">
        <x:v>PCJ-19, PCJ-20, PCJ-21, PCJ-22, PCJ-23, PCJ-24, PCJ-25, PCJ-26, PCJ-27, PCJ-28</x:v>
      </x:c>
    </x:row>
    <x:row r="21" ht="76" customHeight="1">
      <x:c r="A21" s="81" t="str">
        <x:v>CONSUMER</x:v>
      </x:c>
      <x:c r="B21" s="81" t="str">
        <x:v>India Code — Consumer Protection Act, 2019</x:v>
      </x:c>
      <x:c r="C21" s="81" t="str">
        <x:v>https://www.indiacode.nic.in/handle/123456789/15256</x:v>
      </x:c>
      <x:c r="D21" s="81" t="str">
        <x:v>Consumer contracts, product/service representations and remedies require the actual law and transaction; broad contractual disclaimers are not approval.</x:v>
      </x:c>
      <x:c r="E21" s="81" t="str">
        <x:v>Official portal / repository</x:v>
      </x:c>
      <x:c r="F21" s="81" t="str">
        <x:v>PCJ-19, PCJ-20, PCJ-21, PCJ-22, PCJ-23, PCJ-24, PCJ-25, PCJ-26, PCJ-27, PCJ-28</x:v>
      </x:c>
    </x:row>
    <x:row r="22" ht="76" customHeight="1">
      <x:c r="A22" s="81" t="str">
        <x:v>PMBIGUIDE</x:v>
      </x:c>
      <x:c r="B22" s="81" t="str">
        <x:v>PMBI — opening guidelines, published 25 August 2025</x:v>
      </x:c>
      <x:c r="C22" s="81" t="str">
        <x:v>https://www.pmbi.co.in/pdf/Guidelines_for_PMBJK_Opening%2025082025.pdf</x:v>
      </x:c>
      <x:c r="D22" s="81" t="str">
        <x:v>Sections III–V and application requirements: pharmacist, premises, margins, incentives, documentation and programme conditions.</x:v>
      </x:c>
      <x:c r="E22" s="81" t="str">
        <x:v>Official guidance / document</x:v>
      </x:c>
      <x:c r="F22" s="81" t="str">
        <x:v>PCJ-23</x:v>
      </x:c>
    </x:row>
    <x:row r="23" ht="76" customHeight="1">
      <x:c r="A23" s="81" t="str">
        <x:v>PMBICIRC</x:v>
      </x:c>
      <x:c r="B23" s="81" t="str">
        <x:v>PMBI — incentive circular, 29 August 2024, effective 1 September 2024</x:v>
      </x:c>
      <x:c r="C23" s="81" t="str">
        <x:v>https://www.pmbi.co.in/pdf/Circular%20Removal%20and%20Enhancement_30082024.pdf</x:v>
      </x:c>
      <x:c r="D23" s="81" t="str">
        <x:v>Removes cumulative Rs 5 lakh cap and changes purchase-linked incentive; stocking conditions and monthly limit apply.</x:v>
      </x:c>
      <x:c r="E23" s="81" t="str">
        <x:v>Official guidance / document</x:v>
      </x:c>
      <x:c r="F23" s="81" t="str">
        <x:v>PCJ-23</x:v>
      </x:c>
    </x:row>
    <x:row r="24" ht="76" customHeight="1">
      <x:c r="A24" s="81" t="str">
        <x:v>PMBIAPPLY</x:v>
      </x:c>
      <x:c r="B24" s="81" t="str">
        <x:v>PMBI — registration and scheme documents</x:v>
      </x:c>
      <x:c r="C24" s="81" t="str">
        <x:v>https://www.pmbi.co.in/online_registration.aspx</x:v>
      </x:c>
      <x:c r="D24" s="81" t="str">
        <x:v>Application fee, exemptions, guidelines, agreement and scheme forms; excludes State drug licence fees.</x:v>
      </x:c>
      <x:c r="E24" s="81" t="str">
        <x:v>Official portal / repository</x:v>
      </x:c>
      <x:c r="F24" s="81" t="str">
        <x:v>PCJ-23</x:v>
      </x:c>
    </x:row>
    <x:row r="25" ht="76" customHeight="1">
      <x:c r="A25" s="81" t="str">
        <x:v>MDFAQ</x:v>
      </x:c>
      <x:c r="B25" s="81" t="str">
        <x:v>CDSCO — Medical Devices FAQ, CDSCO/FAQ/MD/01/2024</x:v>
      </x:c>
      <x:c r="C25" s="81" t="str">
        <x:v>https://cdsco.gov.in/opencms/export/sites/CDSCO_WEB/Pdf-documents/MDfAq24.pdf</x:v>
      </x:c>
      <x:c r="D25" s="81" t="str">
        <x:v>Questions 6, 13, 55 and 143–148: authority, fee schedule, and MD-41/MD-42 sale/distribution pathway. FAQ is explanatory, not the controlling rule.</x:v>
      </x:c>
      <x:c r="E25" s="81" t="str">
        <x:v>Official guidance / document</x:v>
      </x:c>
      <x:c r="F25" s="81" t="str">
        <x:v>PCJ-21, PCJ-26, PCJ-27</x:v>
      </x:c>
    </x:row>
    <x:row r="26" ht="76" customHeight="1">
      <x:c r="A26" s="81" t="str">
        <x:v>MDPATH</x:v>
      </x:c>
      <x:c r="B26" s="81" t="str">
        <x:v>CDSCO — medical-device regulatory pathway</x:v>
      </x:c>
      <x:c r="C26" s="81" t="str">
        <x:v>https://cdsco.gov.in/opencms/export/sites/CDSCO_WEB/Pdf-documents/medical-device/RegulatoryMDR-2017.pdf</x:v>
      </x:c>
      <x:c r="D26" s="81" t="str">
        <x:v>Distinguishes development, testing, manufacturing and import; an import/manufacturing form is not a blanket rental licence.</x:v>
      </x:c>
      <x:c r="E26" s="81" t="str">
        <x:v>Official guidance / document</x:v>
      </x:c>
      <x:c r="F26" s="81" t="str">
        <x:v>PCJ-27</x:v>
      </x:c>
    </x:row>
    <x:row r="27" ht="76" customHeight="1">
      <x:c r="A27" s="81" t="str">
        <x:v>STATEDRUGS</x:v>
      </x:c>
      <x:c r="B27" s="81" t="str">
        <x:v>CDSCO — State and UT Drugs Control directory</x:v>
      </x:c>
      <x:c r="C27" s="81" t="str">
        <x:v>https://cdsco.gov.in/opencms/opencms/en/State-Drugs-Control/</x:v>
      </x:c>
      <x:c r="D27" s="81" t="str">
        <x:v>Identify the competent State/UT licensing office; verify its actual current form, fee and contact through official channels.</x:v>
      </x:c>
      <x:c r="E27" s="81" t="str">
        <x:v>Official portal / repository</x:v>
      </x:c>
      <x:c r="F27" s="81" t="str">
        <x:v>PCJ-23, PCJ-27</x:v>
      </x:c>
    </x:row>
    <x:row r="28" ht="76" customHeight="1">
      <x:c r="A28" s="81" t="str">
        <x:v>REFURBSOP</x:v>
      </x:c>
      <x:c r="B28" s="81" t="str">
        <x:v>CPCB via MPCB — refurbisher registration SOP under E-Waste Rules, 2022</x:v>
      </x:c>
      <x:c r="C28" s="81" t="str">
        <x:v>https://mpcb.gov.in/sites/default/files/Establishment%20of%20MPCB/Seniority%20list/2014/SOP_for_grant_of_Registration_to_Refurbisher_under_E_waste_Rules_2022.pdf</x:v>
      </x:c>
      <x:c r="D28" s="81" t="str">
        <x:v>Scope, application evidence, queries and Annexures I–II; verify rule 2 exclusions and later notices before filing.</x:v>
      </x:c>
      <x:c r="E28" s="81" t="str">
        <x:v>Official guidance / document</x:v>
      </x:c>
      <x:c r="F28" s="81" t="str">
        <x:v>PCJ-24</x:v>
      </x:c>
    </x:row>
    <x:row r="29" ht="76" customHeight="1">
      <x:c r="A29" s="81" t="str">
        <x:v>EWFAQ</x:v>
      </x:c>
      <x:c r="B29" s="81" t="str">
        <x:v>CPCB via MPCB — e-waste FAQ, 23 January 2024</x:v>
      </x:c>
      <x:c r="C29" s="81" t="str">
        <x:v>https://mpcb.gov.in/sites/default/files/Establishment%20of%20MPCB/Seniority%20list/2014/FAQs_for_E_Waste_Management_Rules_2022.pdf</x:v>
      </x:c>
      <x:c r="D29" s="81" t="str">
        <x:v>Interpretive aid for scope and registration; the Gazette and amendments control.</x:v>
      </x:c>
      <x:c r="E29" s="81" t="str">
        <x:v>Official guidance / document</x:v>
      </x:c>
      <x:c r="F29" s="81" t="str">
        <x:v>PCJ-24</x:v>
      </x:c>
    </x:row>
    <x:row r="30" ht="76" customHeight="1">
      <x:c r="A30" s="81" t="str">
        <x:v>EWAM1</x:v>
      </x:c>
      <x:c r="B30" s="81" t="str">
        <x:v>Gazette — E-Waste Amendment Rules, January 2023</x:v>
      </x:c>
      <x:c r="C30" s="81" t="str">
        <x:v>https://mpcb.gov.in/sites/default/files/Establishment%20of%20MPCB/Seniority%20list/2014/E-waste-ammendment-Rules-2023.pdf</x:v>
      </x:c>
      <x:c r="D30" s="81" t="str">
        <x:v>Specified 2023 amendments; read with the base rules, not as a full consolidation.</x:v>
      </x:c>
      <x:c r="E30" s="81" t="str">
        <x:v>Official guidance / document</x:v>
      </x:c>
      <x:c r="F30" s="81" t="str">
        <x:v>PCJ-24</x:v>
      </x:c>
    </x:row>
    <x:row r="31" ht="76" customHeight="1">
      <x:c r="A31" s="81" t="str">
        <x:v>EWAM2</x:v>
      </x:c>
      <x:c r="B31" s="81" t="str">
        <x:v>Gazette — E-Waste Second Amendment Rules, 2023</x:v>
      </x:c>
      <x:c r="C31" s="81" t="str">
        <x:v>https://mpcb.gov.in/sites/default/files/Establishment%20of%20MPCB/Seniority%20list/2014/E-Waste-Second-Amendment-Rules-2023.pdf</x:v>
      </x:c>
      <x:c r="D31" s="81" t="str">
        <x:v>Listed amendment document; no blanket complete amendment-chain clearance.</x:v>
      </x:c>
      <x:c r="E31" s="81" t="str">
        <x:v>Official guidance / document</x:v>
      </x:c>
      <x:c r="F31" s="81" t="str">
        <x:v>PCJ-24</x:v>
      </x:c>
    </x:row>
    <x:row r="32" ht="76" customHeight="1">
      <x:c r="A32" s="81" t="str">
        <x:v>EWAM3</x:v>
      </x:c>
      <x:c r="B32" s="81" t="str">
        <x:v>Gazette — E-Waste Third Amendment Rules, 2024</x:v>
      </x:c>
      <x:c r="C32" s="81" t="str">
        <x:v>https://mpcb.gov.in/sites/default/files/Establishment%20of%20MPCB/Seniority%20list/2014/E_waste_Third_Amendment_Rules_2024.pdf</x:v>
      </x:c>
      <x:c r="D32" s="81" t="str">
        <x:v>Listed amendment document; later rules or implementation notices may also apply.</x:v>
      </x:c>
      <x:c r="E32" s="81" t="str">
        <x:v>Official guidance / document</x:v>
      </x:c>
      <x:c r="F32" s="81" t="str">
        <x:v>PCJ-24</x:v>
      </x:c>
    </x:row>
    <x:row r="33" ht="76" customHeight="1">
      <x:c r="A33" s="81" t="str">
        <x:v>GSTBASE</x:v>
      </x:c>
      <x:c r="B33" s="81" t="str">
        <x:v>GST Council — CGST Rules consolidated as at 1 June 2021</x:v>
      </x:c>
      <x:c r="C33" s="81" t="str">
        <x:v>https://gstcouncil.gov.in/sites/default/files/2024-04/01062021-cgst-rules-2017-part-a-rules.pdf</x:v>
      </x:c>
      <x:c r="D33" s="81" t="str">
        <x:v>Historical rules 32(5) and 33 identify second-hand and pure-agent issues to verify against current law; not a current rate or exemption certificate.</x:v>
      </x:c>
      <x:c r="E33" s="81" t="str">
        <x:v>Historical consolidated rules</x:v>
      </x:c>
      <x:c r="F33" s="81" t="str">
        <x:v>PCJ-24, PCJ-25</x:v>
      </x:c>
    </x:row>
    <x:row r="34" ht="76" customHeight="1">
      <x:c r="A34" s="81" t="str">
        <x:v>CERTFAQ</x:v>
      </x:c>
      <x:c r="B34" s="81" t="str">
        <x:v>CERT-In — Cyber Security Directions FAQs, May 2022</x:v>
      </x:c>
      <x:c r="C34" s="81" t="str">
        <x:v>https://www.cert-in.org.in/PDF/FAQs_on_CyberSecurityDirections_May2022.pdf</x:v>
      </x:c>
      <x:c r="D34" s="81" t="str">
        <x:v>Q7 scope; Q13 statutory duty cannot be transferred by contract; Q22 confidentiality; Q24 six-hour reporting clock; Q30 available information and later supplements. Explanatory FAQ is not a replacement for the directions.</x:v>
      </x:c>
      <x:c r="E34" s="81" t="str">
        <x:v>Official guidance / document</x:v>
      </x:c>
      <x:c r="F34" s="81" t="str">
        <x:v>PCJ-19</x:v>
      </x:c>
    </x:row>
    <x:row r="35" ht="76" customHeight="1">
      <x:c r="A35" s="81" t="str">
        <x:v>CERTMSME</x:v>
      </x:c>
      <x:c r="B35" s="81" t="str">
        <x:v>CERT-In — Elemental Cyber Defense Controls for MSMEs, 1 September 2025</x:v>
      </x:c>
      <x:c r="C35" s="81" t="str">
        <x:v>https://www.cert-in.org.in/PDF/Elemental_Cyber_Defense_Controls_for_MSME.pdf</x:v>
      </x:c>
      <x:c r="D35" s="81" t="str">
        <x:v>Recommended risk-based baseline: access controls, asset inventory, backups and restoration tests, vendor oversight, logging and incident preparedness. Recommendations do not replace applicable legal duties or certify security.</x:v>
      </x:c>
      <x:c r="E35" s="81" t="str">
        <x:v>Official guidance / document</x:v>
      </x:c>
      <x:c r="F35" s="81" t="str">
        <x:v>PCJ-19</x:v>
      </x:c>
    </x:row>
  </x:sheetData>
  <x:pageMargins left="0.7" right="0.7" top="0.75" bottom="0.75" header="0.3" footer="0.3"/>
</x:worksheet>
</file>

<file path=xl/worksheets/sheet5.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PCJ-19 | AI Automation &amp; B2B Workflow Studio</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ILLUSTRATIVE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367300</x:v>
      </x:c>
      <x:c r="G7" s="2"/>
      <x:c r="H7" s="2"/>
      <x:c r="I7" s="2"/>
      <x:c r="J7" s="2"/>
      <x:c r="K7" s="2"/>
      <x:c r="L7" s="2"/>
      <x:c r="M7" s="2"/>
      <x:c r="N7" s="2"/>
      <x:c r="O7" s="2"/>
    </x:row>
    <x:row r="8" ht="38" customHeight="1">
      <x:c r="A8" s="90" t="str">
        <x:v>Base monthly units</x:v>
      </x:c>
      <x:c r="B8" s="106" t="n">
        <x:v>8</x:v>
      </x:c>
      <x:c r="C8" s="90" t="str">
        <x:v>Billable output, not leads or maximum capacity.</x:v>
      </x:c>
      <x:c r="D8" s="2"/>
      <x:c r="E8" s="2" t="n">
        <x:v>2</x:v>
      </x:c>
      <x:c r="F8" s="40" t="n">
        <x:f>E64</x:f>
        <x:v>306125</x:v>
      </x:c>
      <x:c r="G8" s="2"/>
      <x:c r="H8" s="2"/>
      <x:c r="I8" s="2"/>
      <x:c r="J8" s="2"/>
      <x:c r="K8" s="2"/>
      <x:c r="L8" s="2"/>
      <x:c r="M8" s="2"/>
      <x:c r="N8" s="2"/>
      <x:c r="O8" s="2"/>
    </x:row>
    <x:row r="9" ht="38" customHeight="1">
      <x:c r="A9" s="90" t="str">
        <x:v>Net realised price / unit (INR)</x:v>
      </x:c>
      <x:c r="B9" s="106" t="n">
        <x:v>50000</x:v>
      </x:c>
      <x:c r="C9" s="90" t="str">
        <x:v>Excludes GST; net of commercial reductions.</x:v>
      </x:c>
      <x:c r="D9" s="2"/>
      <x:c r="E9" s="2" t="n">
        <x:v>3</x:v>
      </x:c>
      <x:c r="F9" s="40" t="n">
        <x:f>F64</x:f>
        <x:v>277950</x:v>
      </x:c>
      <x:c r="G9" s="2"/>
      <x:c r="H9" s="2"/>
      <x:c r="I9" s="2"/>
      <x:c r="J9" s="2"/>
      <x:c r="K9" s="2"/>
      <x:c r="L9" s="2"/>
      <x:c r="M9" s="2"/>
      <x:c r="N9" s="2"/>
      <x:c r="O9" s="2"/>
    </x:row>
    <x:row r="10" ht="38" customHeight="1">
      <x:c r="A10" s="90" t="str">
        <x:v>Variable cash cost / unit (INR)</x:v>
      </x:c>
      <x:c r="B10" s="106" t="n">
        <x:v>17000</x:v>
      </x:c>
      <x:c r="C10" s="90" t="str">
        <x:v>Include expected direct rework/returns where relevant.</x:v>
      </x:c>
      <x:c r="D10" s="2"/>
      <x:c r="E10" s="2" t="n">
        <x:v>4</x:v>
      </x:c>
      <x:c r="F10" s="40" t="n">
        <x:f>G64</x:f>
        <x:v>282775</x:v>
      </x:c>
      <x:c r="G10" s="2"/>
      <x:c r="H10" s="2"/>
      <x:c r="I10" s="2"/>
      <x:c r="J10" s="2"/>
      <x:c r="K10" s="2"/>
      <x:c r="L10" s="2"/>
      <x:c r="M10" s="2"/>
      <x:c r="N10" s="2"/>
      <x:c r="O10" s="2"/>
    </x:row>
    <x:row r="11" ht="38" customHeight="1">
      <x:c r="A11" s="90" t="str">
        <x:v>Fixed monthly cash cost (INR)</x:v>
      </x:c>
      <x:c r="B11" s="106" t="n">
        <x:v>180000</x:v>
      </x:c>
      <x:c r="C11" s="90" t="str">
        <x:v>Include supervision and realistic owner-replacement cost.</x:v>
      </x:c>
      <x:c r="D11" s="2"/>
      <x:c r="E11" s="2" t="n">
        <x:v>5</x:v>
      </x:c>
      <x:c r="F11" s="40" t="n">
        <x:f>H64</x:f>
        <x:v>320600</x:v>
      </x:c>
      <x:c r="G11" s="2"/>
      <x:c r="H11" s="2"/>
      <x:c r="I11" s="2"/>
      <x:c r="J11" s="2"/>
      <x:c r="K11" s="2"/>
      <x:c r="L11" s="2"/>
      <x:c r="M11" s="2"/>
      <x:c r="N11" s="2"/>
      <x:c r="O11" s="2"/>
    </x:row>
    <x:row r="12" ht="38" customHeight="1">
      <x:c r="A12" s="90" t="str">
        <x:v>Safe / saleable monthly capacity</x:v>
      </x:c>
      <x:c r="B12" s="106" t="n">
        <x:v>15</x:v>
      </x:c>
      <x:c r="C12" s="90" t="str">
        <x:v>Planning input; does not certify safe technical capacity.</x:v>
      </x:c>
      <x:c r="D12" s="2"/>
      <x:c r="E12" s="2" t="n">
        <x:v>6</x:v>
      </x:c>
      <x:c r="F12" s="40" t="n">
        <x:f>I64</x:f>
        <x:v>404600</x:v>
      </x:c>
      <x:c r="G12" s="2"/>
      <x:c r="H12" s="2"/>
      <x:c r="I12" s="2"/>
      <x:c r="J12" s="2"/>
      <x:c r="K12" s="2"/>
      <x:c r="L12" s="2"/>
      <x:c r="M12" s="2"/>
      <x:c r="N12" s="2"/>
      <x:c r="O12" s="2"/>
    </x:row>
    <x:row r="13" ht="38" customHeight="1">
      <x:c r="A13" s="90" t="str">
        <x:v>Inventory-eligible share of variable cost</x:v>
      </x:c>
      <x:c r="B13" s="107" t="n">
        <x:v>0</x:v>
      </x:c>
      <x:c r="C13" s="90" t="str">
        <x:v>Only this share drives modelled inventory.</x:v>
      </x:c>
      <x:c r="D13" s="2"/>
      <x:c r="E13" s="2" t="n">
        <x:v>7</x:v>
      </x:c>
      <x:c r="F13" s="40" t="n">
        <x:f>J64</x:f>
        <x:v>488600</x:v>
      </x:c>
      <x:c r="G13" s="2"/>
      <x:c r="H13" s="2"/>
      <x:c r="I13" s="2"/>
      <x:c r="J13" s="2"/>
      <x:c r="K13" s="2"/>
      <x:c r="L13" s="2"/>
      <x:c r="M13" s="2"/>
      <x:c r="N13" s="2"/>
      <x:c r="O13" s="2"/>
    </x:row>
    <x:row r="14" ht="38" customHeight="1">
      <x:c r="A14" s="90" t="str">
        <x:v>Supplier-credit share of purchases</x:v>
      </x:c>
      <x:c r="B14" s="107" t="n">
        <x:v>0.45</x:v>
      </x:c>
      <x:c r="C14" s="90" t="str">
        <x:v>Other costs are paid currently; do not defer payroll unlawfully.</x:v>
      </x:c>
      <x:c r="D14" s="2"/>
      <x:c r="E14" s="2" t="n">
        <x:v>8</x:v>
      </x:c>
      <x:c r="F14" s="40" t="n">
        <x:f>K64</x:f>
        <x:v>572600</x:v>
      </x:c>
      <x:c r="G14" s="2"/>
      <x:c r="H14" s="2"/>
      <x:c r="I14" s="2"/>
      <x:c r="J14" s="2"/>
      <x:c r="K14" s="2"/>
      <x:c r="L14" s="2"/>
      <x:c r="M14" s="2"/>
      <x:c r="N14" s="2"/>
      <x:c r="O14" s="2"/>
    </x:row>
    <x:row r="15" ht="38" customHeight="1">
      <x:c r="A15" s="90" t="str">
        <x:v>Initial installed assets (INR)</x:v>
      </x:c>
      <x:c r="B15" s="106" t="n">
        <x:v>350000</x:v>
      </x:c>
      <x:c r="C15" s="90" t="str">
        <x:v>Initial capex; further capex has a separate monthly row.</x:v>
      </x:c>
      <x:c r="D15" s="2"/>
      <x:c r="E15" s="2" t="n">
        <x:v>9</x:v>
      </x:c>
      <x:c r="F15" s="40" t="n">
        <x:f>L64</x:f>
        <x:v>656600</x:v>
      </x:c>
      <x:c r="G15" s="2"/>
      <x:c r="H15" s="2"/>
      <x:c r="I15" s="2"/>
      <x:c r="J15" s="2"/>
      <x:c r="K15" s="2"/>
      <x:c r="L15" s="2"/>
      <x:c r="M15" s="2"/>
      <x:c r="N15" s="2"/>
      <x:c r="O15" s="2"/>
    </x:row>
    <x:row r="16" ht="38" customHeight="1">
      <x:c r="A16" s="90" t="str">
        <x:v>Refundable startup deposits (INR)</x:v>
      </x:c>
      <x:c r="B16" s="106" t="n">
        <x:v>60000</x:v>
      </x:c>
      <x:c r="C16" s="90" t="str">
        <x:v>Cash funding, not immediate operating expense.</x:v>
      </x:c>
      <x:c r="D16" s="2"/>
      <x:c r="E16" s="2" t="n">
        <x:v>10</x:v>
      </x:c>
      <x:c r="F16" s="40" t="n">
        <x:f>M64</x:f>
        <x:v>727425</x:v>
      </x:c>
      <x:c r="G16" s="2"/>
      <x:c r="H16" s="2"/>
      <x:c r="I16" s="2"/>
      <x:c r="J16" s="2"/>
      <x:c r="K16" s="2"/>
      <x:c r="L16" s="2"/>
      <x:c r="M16" s="2"/>
      <x:c r="N16" s="2"/>
      <x:c r="O16" s="2"/>
    </x:row>
    <x:row r="17" ht="38" customHeight="1">
      <x:c r="A17" s="90" t="str">
        <x:v>Pre-opening expense (INR)</x:v>
      </x:c>
      <x:c r="B17" s="106" t="n">
        <x:v>120000</x:v>
      </x:c>
      <x:c r="C17" s="90" t="str">
        <x:v>Before month 1; excluded from forecast EBITDA.</x:v>
      </x:c>
      <x:c r="D17" s="2"/>
      <x:c r="E17" s="2" t="n">
        <x:v>11</x:v>
      </x:c>
      <x:c r="F17" s="40" t="n">
        <x:f>N64</x:f>
        <x:v>844425</x:v>
      </x:c>
      <x:c r="G17" s="2"/>
      <x:c r="H17" s="2"/>
      <x:c r="I17" s="2"/>
      <x:c r="J17" s="2"/>
      <x:c r="K17" s="2"/>
      <x:c r="L17" s="2"/>
      <x:c r="M17" s="2"/>
      <x:c r="N17" s="2"/>
      <x:c r="O17" s="2"/>
    </x:row>
    <x:row r="18" ht="38" customHeight="1">
      <x:c r="A18" s="90" t="str">
        <x:v>Opening cash reserve (INR)</x:v>
      </x:c>
      <x:c r="B18" s="106" t="n">
        <x:v>600000</x:v>
      </x:c>
      <x:c r="C18" s="90" t="str">
        <x:v>May be insufficient: review minimum closing cash.</x:v>
      </x:c>
      <x:c r="D18" s="2"/>
      <x:c r="E18" s="2" t="n">
        <x:v>12</x:v>
      </x:c>
      <x:c r="F18" s="40" t="n">
        <x:f>O64</x:f>
        <x:v>961425</x:v>
      </x:c>
      <x:c r="G18" s="2"/>
      <x:c r="H18" s="2"/>
      <x:c r="I18" s="2"/>
      <x:c r="J18" s="2"/>
      <x:c r="K18" s="2"/>
      <x:c r="L18" s="2"/>
      <x:c r="M18" s="2"/>
      <x:c r="N18" s="2"/>
      <x:c r="O18" s="2"/>
    </x:row>
    <x:row r="19" ht="38" customHeight="1">
      <x:c r="A19" s="90" t="str">
        <x:v>Collection lag (days; 0–90)</x:v>
      </x:c>
      <x:c r="B19" s="108" t="n">
        <x:v>30</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0</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15</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3</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active client-months.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4</x:v>
      </x:c>
      <x:c r="E36" s="41" t="n">
        <x:f>ROUND($B$8*E35*$B$25,0)</x:f>
        <x:v>5</x:v>
      </x:c>
      <x:c r="F36" s="41" t="n">
        <x:f>ROUND($B$8*F35*$B$25,0)</x:f>
        <x:v>6</x:v>
      </x:c>
      <x:c r="G36" s="41" t="n">
        <x:f>ROUND($B$8*G35*$B$25,0)</x:f>
        <x:v>7</x:v>
      </x:c>
      <x:c r="H36" s="41" t="n">
        <x:f>ROUND($B$8*H35*$B$25,0)</x:f>
        <x:v>8</x:v>
      </x:c>
      <x:c r="I36" s="41" t="n">
        <x:f>ROUND($B$8*I35*$B$25,0)</x:f>
        <x:v>8</x:v>
      </x:c>
      <x:c r="J36" s="41" t="n">
        <x:f>ROUND($B$8*J35*$B$25,0)</x:f>
        <x:v>8</x:v>
      </x:c>
      <x:c r="K36" s="41" t="n">
        <x:f>ROUND($B$8*K35*$B$25,0)</x:f>
        <x:v>8</x:v>
      </x:c>
      <x:c r="L36" s="41" t="n">
        <x:f>ROUND($B$8*L35*$B$25,0)</x:f>
        <x:v>8</x:v>
      </x:c>
      <x:c r="M36" s="41" t="n">
        <x:f>ROUND($B$8*M35*$B$25,0)</x:f>
        <x:v>9</x:v>
      </x:c>
      <x:c r="N36" s="41" t="n">
        <x:f>ROUND($B$8*N35*$B$25,0)</x:f>
        <x:v>9</x:v>
      </x:c>
      <x:c r="O36" s="41" t="n">
        <x:f>ROUND($B$8*O35*$B$25,0)</x:f>
        <x:v>9</x:v>
      </x:c>
    </x:row>
    <x:row r="37" ht="20" customHeight="1">
      <x:c r="A37" s="4" t="str">
        <x:v>Safe / saleable capacity</x:v>
      </x:c>
      <x:c r="B37" s="4"/>
      <x:c r="C37" s="4"/>
      <x:c r="D37" s="41" t="n">
        <x:f>$B$12</x:f>
        <x:v>15</x:v>
      </x:c>
      <x:c r="E37" s="41" t="n">
        <x:f>$B$12</x:f>
        <x:v>15</x:v>
      </x:c>
      <x:c r="F37" s="41" t="n">
        <x:f>$B$12</x:f>
        <x:v>15</x:v>
      </x:c>
      <x:c r="G37" s="41" t="n">
        <x:f>$B$12</x:f>
        <x:v>15</x:v>
      </x:c>
      <x:c r="H37" s="41" t="n">
        <x:f>$B$12</x:f>
        <x:v>15</x:v>
      </x:c>
      <x:c r="I37" s="41" t="n">
        <x:f>$B$12</x:f>
        <x:v>15</x:v>
      </x:c>
      <x:c r="J37" s="41" t="n">
        <x:f>$B$12</x:f>
        <x:v>15</x:v>
      </x:c>
      <x:c r="K37" s="41" t="n">
        <x:f>$B$12</x:f>
        <x:v>15</x:v>
      </x:c>
      <x:c r="L37" s="41" t="n">
        <x:f>$B$12</x:f>
        <x:v>15</x:v>
      </x:c>
      <x:c r="M37" s="41" t="n">
        <x:f>$B$12</x:f>
        <x:v>15</x:v>
      </x:c>
      <x:c r="N37" s="41" t="n">
        <x:f>$B$12</x:f>
        <x:v>15</x:v>
      </x:c>
      <x:c r="O37" s="41" t="n">
        <x:f>$B$12</x:f>
        <x:v>15</x:v>
      </x:c>
    </x:row>
    <x:row r="38" ht="20" customHeight="1">
      <x:c r="A38" s="4" t="str">
        <x:v>Capacity utilisation</x:v>
      </x:c>
      <x:c r="B38" s="4"/>
      <x:c r="C38" s="4"/>
      <x:c r="D38" s="46" t="n">
        <x:f>IF(D37&gt;0,D36/D37,0)</x:f>
        <x:v>0.26666666666666666</x:v>
      </x:c>
      <x:c r="E38" s="46" t="n">
        <x:f>IF(E37&gt;0,E36/E37,0)</x:f>
        <x:v>0.3333333333333333</x:v>
      </x:c>
      <x:c r="F38" s="46" t="n">
        <x:f>IF(F37&gt;0,F36/F37,0)</x:f>
        <x:v>0.4</x:v>
      </x:c>
      <x:c r="G38" s="46" t="n">
        <x:f>IF(G37&gt;0,G36/G37,0)</x:f>
        <x:v>0.4666666666666667</x:v>
      </x:c>
      <x:c r="H38" s="46" t="n">
        <x:f>IF(H37&gt;0,H36/H37,0)</x:f>
        <x:v>0.5333333333333333</x:v>
      </x:c>
      <x:c r="I38" s="46" t="n">
        <x:f>IF(I37&gt;0,I36/I37,0)</x:f>
        <x:v>0.5333333333333333</x:v>
      </x:c>
      <x:c r="J38" s="46" t="n">
        <x:f>IF(J37&gt;0,J36/J37,0)</x:f>
        <x:v>0.5333333333333333</x:v>
      </x:c>
      <x:c r="K38" s="46" t="n">
        <x:f>IF(K37&gt;0,K36/K37,0)</x:f>
        <x:v>0.5333333333333333</x:v>
      </x:c>
      <x:c r="L38" s="46" t="n">
        <x:f>IF(L37&gt;0,L36/L37,0)</x:f>
        <x:v>0.5333333333333333</x:v>
      </x:c>
      <x:c r="M38" s="46" t="n">
        <x:f>IF(M37&gt;0,M36/M37,0)</x:f>
        <x:v>0.6</x:v>
      </x:c>
      <x:c r="N38" s="46" t="n">
        <x:f>IF(N37&gt;0,N36/N37,0)</x:f>
        <x:v>0.6</x:v>
      </x:c>
      <x:c r="O38" s="46" t="n">
        <x:f>IF(O37&gt;0,O36/O37,0)</x:f>
        <x:v>0.6</x:v>
      </x:c>
    </x:row>
    <x:row r="39" ht="20" customHeight="1">
      <x:c r="A39" s="4" t="str">
        <x:v>Net realised unit price</x:v>
      </x:c>
      <x:c r="B39" s="4"/>
      <x:c r="C39" s="4"/>
      <x:c r="D39" s="41" t="n">
        <x:f>$B$9*$B$26</x:f>
        <x:v>50000</x:v>
      </x:c>
      <x:c r="E39" s="41" t="n">
        <x:f>$B$9*$B$26</x:f>
        <x:v>50000</x:v>
      </x:c>
      <x:c r="F39" s="41" t="n">
        <x:f>$B$9*$B$26</x:f>
        <x:v>50000</x:v>
      </x:c>
      <x:c r="G39" s="41" t="n">
        <x:f>$B$9*$B$26</x:f>
        <x:v>50000</x:v>
      </x:c>
      <x:c r="H39" s="41" t="n">
        <x:f>$B$9*$B$26</x:f>
        <x:v>50000</x:v>
      </x:c>
      <x:c r="I39" s="41" t="n">
        <x:f>$B$9*$B$26</x:f>
        <x:v>50000</x:v>
      </x:c>
      <x:c r="J39" s="41" t="n">
        <x:f>$B$9*$B$26</x:f>
        <x:v>50000</x:v>
      </x:c>
      <x:c r="K39" s="41" t="n">
        <x:f>$B$9*$B$26</x:f>
        <x:v>50000</x:v>
      </x:c>
      <x:c r="L39" s="41" t="n">
        <x:f>$B$9*$B$26</x:f>
        <x:v>50000</x:v>
      </x:c>
      <x:c r="M39" s="41" t="n">
        <x:f>$B$9*$B$26</x:f>
        <x:v>50000</x:v>
      </x:c>
      <x:c r="N39" s="41" t="n">
        <x:f>$B$9*$B$26</x:f>
        <x:v>50000</x:v>
      </x:c>
      <x:c r="O39" s="41" t="n">
        <x:f>$B$9*$B$26</x:f>
        <x:v>50000</x:v>
      </x:c>
    </x:row>
    <x:row r="40" ht="20" customHeight="1">
      <x:c r="A40" s="60" t="str">
        <x:v>Revenue, excluding GST</x:v>
      </x:c>
      <x:c r="B40" s="60"/>
      <x:c r="C40" s="60"/>
      <x:c r="D40" s="61" t="n">
        <x:f>D36*D39</x:f>
        <x:v>200000</x:v>
      </x:c>
      <x:c r="E40" s="61" t="n">
        <x:f>E36*E39</x:f>
        <x:v>250000</x:v>
      </x:c>
      <x:c r="F40" s="61" t="n">
        <x:f>F36*F39</x:f>
        <x:v>300000</x:v>
      </x:c>
      <x:c r="G40" s="61" t="n">
        <x:f>G36*G39</x:f>
        <x:v>350000</x:v>
      </x:c>
      <x:c r="H40" s="61" t="n">
        <x:f>H36*H39</x:f>
        <x:v>400000</x:v>
      </x:c>
      <x:c r="I40" s="61" t="n">
        <x:f>I36*I39</x:f>
        <x:v>400000</x:v>
      </x:c>
      <x:c r="J40" s="61" t="n">
        <x:f>J36*J39</x:f>
        <x:v>400000</x:v>
      </x:c>
      <x:c r="K40" s="61" t="n">
        <x:f>K36*K39</x:f>
        <x:v>400000</x:v>
      </x:c>
      <x:c r="L40" s="61" t="n">
        <x:f>L36*L39</x:f>
        <x:v>400000</x:v>
      </x:c>
      <x:c r="M40" s="61" t="n">
        <x:f>M36*M39</x:f>
        <x:v>450000</x:v>
      </x:c>
      <x:c r="N40" s="61" t="n">
        <x:f>N36*N39</x:f>
        <x:v>450000</x:v>
      </x:c>
      <x:c r="O40" s="61" t="n">
        <x:f>O36*O39</x:f>
        <x:v>450000</x:v>
      </x:c>
    </x:row>
    <x:row r="41" ht="20" customHeight="1">
      <x:c r="A41" s="4" t="str">
        <x:v>Variable cash cost</x:v>
      </x:c>
      <x:c r="B41" s="4"/>
      <x:c r="C41" s="4"/>
      <x:c r="D41" s="41" t="n">
        <x:f>D36*$B$10*$B$27</x:f>
        <x:v>68000</x:v>
      </x:c>
      <x:c r="E41" s="41" t="n">
        <x:f>E36*$B$10*$B$27</x:f>
        <x:v>85000</x:v>
      </x:c>
      <x:c r="F41" s="41" t="n">
        <x:f>F36*$B$10*$B$27</x:f>
        <x:v>102000</x:v>
      </x:c>
      <x:c r="G41" s="41" t="n">
        <x:f>G36*$B$10*$B$27</x:f>
        <x:v>119000</x:v>
      </x:c>
      <x:c r="H41" s="41" t="n">
        <x:f>H36*$B$10*$B$27</x:f>
        <x:v>136000</x:v>
      </x:c>
      <x:c r="I41" s="41" t="n">
        <x:f>I36*$B$10*$B$27</x:f>
        <x:v>136000</x:v>
      </x:c>
      <x:c r="J41" s="41" t="n">
        <x:f>J36*$B$10*$B$27</x:f>
        <x:v>136000</x:v>
      </x:c>
      <x:c r="K41" s="41" t="n">
        <x:f>K36*$B$10*$B$27</x:f>
        <x:v>136000</x:v>
      </x:c>
      <x:c r="L41" s="41" t="n">
        <x:f>L36*$B$10*$B$27</x:f>
        <x:v>136000</x:v>
      </x:c>
      <x:c r="M41" s="41" t="n">
        <x:f>M36*$B$10*$B$27</x:f>
        <x:v>153000</x:v>
      </x:c>
      <x:c r="N41" s="41" t="n">
        <x:f>N36*$B$10*$B$27</x:f>
        <x:v>153000</x:v>
      </x:c>
      <x:c r="O41" s="41" t="n">
        <x:f>O36*$B$10*$B$27</x:f>
        <x:v>153000</x:v>
      </x:c>
    </x:row>
    <x:row r="42" ht="20" customHeight="1">
      <x:c r="A42" s="4" t="str">
        <x:v>Contribution</x:v>
      </x:c>
      <x:c r="B42" s="4"/>
      <x:c r="C42" s="4"/>
      <x:c r="D42" s="41" t="n">
        <x:f>D40-D41</x:f>
        <x:v>132000</x:v>
      </x:c>
      <x:c r="E42" s="41" t="n">
        <x:f>E40-E41</x:f>
        <x:v>165000</x:v>
      </x:c>
      <x:c r="F42" s="41" t="n">
        <x:f>F40-F41</x:f>
        <x:v>198000</x:v>
      </x:c>
      <x:c r="G42" s="41" t="n">
        <x:f>G40-G41</x:f>
        <x:v>231000</x:v>
      </x:c>
      <x:c r="H42" s="41" t="n">
        <x:f>H40-H41</x:f>
        <x:v>264000</x:v>
      </x:c>
      <x:c r="I42" s="41" t="n">
        <x:f>I40-I41</x:f>
        <x:v>264000</x:v>
      </x:c>
      <x:c r="J42" s="41" t="n">
        <x:f>J40-J41</x:f>
        <x:v>264000</x:v>
      </x:c>
      <x:c r="K42" s="41" t="n">
        <x:f>K40-K41</x:f>
        <x:v>264000</x:v>
      </x:c>
      <x:c r="L42" s="41" t="n">
        <x:f>L40-L41</x:f>
        <x:v>264000</x:v>
      </x:c>
      <x:c r="M42" s="41" t="n">
        <x:f>M40-M41</x:f>
        <x:v>297000</x:v>
      </x:c>
      <x:c r="N42" s="41" t="n">
        <x:f>N40-N41</x:f>
        <x:v>297000</x:v>
      </x:c>
      <x:c r="O42" s="41" t="n">
        <x:f>O40-O41</x:f>
        <x:v>297000</x:v>
      </x:c>
    </x:row>
    <x:row r="43" ht="20" customHeight="1">
      <x:c r="A43" s="4" t="str">
        <x:v>Fixed cash cost</x:v>
      </x:c>
      <x:c r="B43" s="4"/>
      <x:c r="C43" s="4"/>
      <x:c r="D43" s="41" t="n">
        <x:f>$B$11*$B$28</x:f>
        <x:v>180000</x:v>
      </x:c>
      <x:c r="E43" s="41" t="n">
        <x:f>$B$11*$B$28</x:f>
        <x:v>180000</x:v>
      </x:c>
      <x:c r="F43" s="41" t="n">
        <x:f>$B$11*$B$28</x:f>
        <x:v>180000</x:v>
      </x:c>
      <x:c r="G43" s="41" t="n">
        <x:f>$B$11*$B$28</x:f>
        <x:v>180000</x:v>
      </x:c>
      <x:c r="H43" s="41" t="n">
        <x:f>$B$11*$B$28</x:f>
        <x:v>180000</x:v>
      </x:c>
      <x:c r="I43" s="41" t="n">
        <x:f>$B$11*$B$28</x:f>
        <x:v>180000</x:v>
      </x:c>
      <x:c r="J43" s="41" t="n">
        <x:f>$B$11*$B$28</x:f>
        <x:v>180000</x:v>
      </x:c>
      <x:c r="K43" s="41" t="n">
        <x:f>$B$11*$B$28</x:f>
        <x:v>180000</x:v>
      </x:c>
      <x:c r="L43" s="41" t="n">
        <x:f>$B$11*$B$28</x:f>
        <x:v>180000</x:v>
      </x:c>
      <x:c r="M43" s="41" t="n">
        <x:f>$B$11*$B$28</x:f>
        <x:v>180000</x:v>
      </x:c>
      <x:c r="N43" s="41" t="n">
        <x:f>$B$11*$B$28</x:f>
        <x:v>180000</x:v>
      </x:c>
      <x:c r="O43" s="41" t="n">
        <x:f>$B$11*$B$28</x:f>
        <x:v>180000</x:v>
      </x:c>
    </x:row>
    <x:row r="44" ht="20" customHeight="1">
      <x:c r="A44" s="60" t="str">
        <x:v>Operating cash profit (EBITDA)</x:v>
      </x:c>
      <x:c r="B44" s="60"/>
      <x:c r="C44" s="60"/>
      <x:c r="D44" s="61" t="n">
        <x:f>D42-D43</x:f>
        <x:v>-48000</x:v>
      </x:c>
      <x:c r="E44" s="61" t="n">
        <x:f>E42-E43</x:f>
        <x:v>-15000</x:v>
      </x:c>
      <x:c r="F44" s="61" t="n">
        <x:f>F42-F43</x:f>
        <x:v>18000</x:v>
      </x:c>
      <x:c r="G44" s="61" t="n">
        <x:f>G42-G43</x:f>
        <x:v>51000</x:v>
      </x:c>
      <x:c r="H44" s="61" t="n">
        <x:f>H42-H43</x:f>
        <x:v>84000</x:v>
      </x:c>
      <x:c r="I44" s="61" t="n">
        <x:f>I42-I43</x:f>
        <x:v>84000</x:v>
      </x:c>
      <x:c r="J44" s="61" t="n">
        <x:f>J42-J43</x:f>
        <x:v>84000</x:v>
      </x:c>
      <x:c r="K44" s="61" t="n">
        <x:f>K42-K43</x:f>
        <x:v>84000</x:v>
      </x:c>
      <x:c r="L44" s="61" t="n">
        <x:f>L42-L43</x:f>
        <x:v>84000</x:v>
      </x:c>
      <x:c r="M44" s="61" t="n">
        <x:f>M42-M43</x:f>
        <x:v>117000</x:v>
      </x:c>
      <x:c r="N44" s="61" t="n">
        <x:f>N42-N43</x:f>
        <x:v>117000</x:v>
      </x:c>
      <x:c r="O44" s="61" t="n">
        <x:f>O42-O43</x:f>
        <x:v>117000</x:v>
      </x:c>
    </x:row>
    <x:row r="45" ht="20" customHeight="1">
      <x:c r="A45" s="4" t="str">
        <x:v>Illustrative depreciation</x:v>
      </x:c>
      <x:c r="B45" s="4"/>
      <x:c r="C45" s="4"/>
      <x:c r="D45" s="41" t="n">
        <x:f>IF($B$22&gt;0,$B$15/$B$22/12,0)</x:f>
        <x:v>9722.222222222223</x:v>
      </x:c>
      <x:c r="E45" s="41" t="n">
        <x:f>IF($B$22&gt;0,$B$15/$B$22/12,0)</x:f>
        <x:v>9722.222222222223</x:v>
      </x:c>
      <x:c r="F45" s="41" t="n">
        <x:f>IF($B$22&gt;0,$B$15/$B$22/12,0)</x:f>
        <x:v>9722.222222222223</x:v>
      </x:c>
      <x:c r="G45" s="41" t="n">
        <x:f>IF($B$22&gt;0,$B$15/$B$22/12,0)</x:f>
        <x:v>9722.222222222223</x:v>
      </x:c>
      <x:c r="H45" s="41" t="n">
        <x:f>IF($B$22&gt;0,$B$15/$B$22/12,0)</x:f>
        <x:v>9722.222222222223</x:v>
      </x:c>
      <x:c r="I45" s="41" t="n">
        <x:f>IF($B$22&gt;0,$B$15/$B$22/12,0)</x:f>
        <x:v>9722.222222222223</x:v>
      </x:c>
      <x:c r="J45" s="41" t="n">
        <x:f>IF($B$22&gt;0,$B$15/$B$22/12,0)</x:f>
        <x:v>9722.222222222223</x:v>
      </x:c>
      <x:c r="K45" s="41" t="n">
        <x:f>IF($B$22&gt;0,$B$15/$B$22/12,0)</x:f>
        <x:v>9722.222222222223</x:v>
      </x:c>
      <x:c r="L45" s="41" t="n">
        <x:f>IF($B$22&gt;0,$B$15/$B$22/12,0)</x:f>
        <x:v>9722.222222222223</x:v>
      </x:c>
      <x:c r="M45" s="41" t="n">
        <x:f>IF($B$22&gt;0,$B$15/$B$22/12,0)</x:f>
        <x:v>9722.222222222223</x:v>
      </x:c>
      <x:c r="N45" s="41" t="n">
        <x:f>IF($B$22&gt;0,$B$15/$B$22/12,0)</x:f>
        <x:v>9722.222222222223</x:v>
      </x:c>
      <x:c r="O45" s="41" t="n">
        <x:f>IF($B$22&gt;0,$B$15/$B$22/12,0)</x:f>
        <x:v>9722.222222222223</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-57722.22222222222</x:v>
      </x:c>
      <x:c r="E50" s="61" t="n">
        <x:f>E44-E45-E47</x:f>
        <x:v>-24722.222222222223</x:v>
      </x:c>
      <x:c r="F50" s="61" t="n">
        <x:f>F44-F45-F47</x:f>
        <x:v>8277.777777777777</x:v>
      </x:c>
      <x:c r="G50" s="61" t="n">
        <x:f>G44-G45-G47</x:f>
        <x:v>41277.77777777778</x:v>
      </x:c>
      <x:c r="H50" s="61" t="n">
        <x:f>H44-H45-H47</x:f>
        <x:v>74277.77777777778</x:v>
      </x:c>
      <x:c r="I50" s="61" t="n">
        <x:f>I44-I45-I47</x:f>
        <x:v>74277.77777777778</x:v>
      </x:c>
      <x:c r="J50" s="61" t="n">
        <x:f>J44-J45-J47</x:f>
        <x:v>74277.77777777778</x:v>
      </x:c>
      <x:c r="K50" s="61" t="n">
        <x:f>K44-K45-K47</x:f>
        <x:v>74277.77777777778</x:v>
      </x:c>
      <x:c r="L50" s="61" t="n">
        <x:f>L44-L45-L47</x:f>
        <x:v>74277.77777777778</x:v>
      </x:c>
      <x:c r="M50" s="61" t="n">
        <x:f>M44-M45-M47</x:f>
        <x:v>107277.77777777778</x:v>
      </x:c>
      <x:c r="N50" s="61" t="n">
        <x:f>N44-N45-N47</x:f>
        <x:v>107277.77777777778</x:v>
      </x:c>
      <x:c r="O50" s="61" t="n">
        <x:f>O44-O45-O47</x:f>
        <x:v>107277.77777777778</x:v>
      </x:c>
    </x:row>
    <x:row r="51" ht="20" customHeight="1">
      <x:c r="A51" s="4" t="str">
        <x:v>Customer cash receipts</x:v>
      </x:c>
      <x:c r="B51" s="4"/>
      <x:c r="C51" s="4"/>
      <x:c r="D51" s="41" t="n">
        <x:f>IF($B$19&lt;30,D40*(1-$B$19/30)+0*$B$19/30,IF($B$19&lt;60,0*(2-$B$19/30)+0*($B$19/30-1),IF($B$19&lt;=90,0*(3-$B$19/30)+0*($B$19/30-2),0)))</x:f>
        <x:v>0</x:v>
      </x:c>
      <x:c r="E51" s="41" t="n">
        <x:f>IF($B$19&lt;30,E40*(1-$B$19/30)+D40*$B$19/30,IF($B$19&lt;60,D40*(2-$B$19/30)+0*($B$19/30-1),IF($B$19&lt;=90,0*(3-$B$19/30)+0*($B$19/30-2),0)))</x:f>
        <x:v>200000</x:v>
      </x:c>
      <x:c r="F51" s="41" t="n">
        <x:f>IF($B$19&lt;30,F40*(1-$B$19/30)+E40*$B$19/30,IF($B$19&lt;60,E40*(2-$B$19/30)+D40*($B$19/30-1),IF($B$19&lt;=90,D40*(3-$B$19/30)+0*($B$19/30-2),0)))</x:f>
        <x:v>250000</x:v>
      </x:c>
      <x:c r="G51" s="41" t="n">
        <x:f>IF($B$19&lt;30,G40*(1-$B$19/30)+F40*$B$19/30,IF($B$19&lt;60,F40*(2-$B$19/30)+E40*($B$19/30-1),IF($B$19&lt;=90,E40*(3-$B$19/30)+D40*($B$19/30-2),0)))</x:f>
        <x:v>300000</x:v>
      </x:c>
      <x:c r="H51" s="41" t="n">
        <x:f>IF($B$19&lt;30,H40*(1-$B$19/30)+G40*$B$19/30,IF($B$19&lt;60,G40*(2-$B$19/30)+F40*($B$19/30-1),IF($B$19&lt;=90,F40*(3-$B$19/30)+E40*($B$19/30-2),0)))</x:f>
        <x:v>350000</x:v>
      </x:c>
      <x:c r="I51" s="41" t="n">
        <x:f>IF($B$19&lt;30,I40*(1-$B$19/30)+H40*$B$19/30,IF($B$19&lt;60,H40*(2-$B$19/30)+G40*($B$19/30-1),IF($B$19&lt;=90,G40*(3-$B$19/30)+F40*($B$19/30-2),0)))</x:f>
        <x:v>400000</x:v>
      </x:c>
      <x:c r="J51" s="41" t="n">
        <x:f>IF($B$19&lt;30,J40*(1-$B$19/30)+I40*$B$19/30,IF($B$19&lt;60,I40*(2-$B$19/30)+H40*($B$19/30-1),IF($B$19&lt;=90,H40*(3-$B$19/30)+G40*($B$19/30-2),0)))</x:f>
        <x:v>400000</x:v>
      </x:c>
      <x:c r="K51" s="41" t="n">
        <x:f>IF($B$19&lt;30,K40*(1-$B$19/30)+J40*$B$19/30,IF($B$19&lt;60,J40*(2-$B$19/30)+I40*($B$19/30-1),IF($B$19&lt;=90,I40*(3-$B$19/30)+H40*($B$19/30-2),0)))</x:f>
        <x:v>400000</x:v>
      </x:c>
      <x:c r="L51" s="41" t="n">
        <x:f>IF($B$19&lt;30,L40*(1-$B$19/30)+K40*$B$19/30,IF($B$19&lt;60,K40*(2-$B$19/30)+J40*($B$19/30-1),IF($B$19&lt;=90,J40*(3-$B$19/30)+I40*($B$19/30-2),0)))</x:f>
        <x:v>400000</x:v>
      </x:c>
      <x:c r="M51" s="41" t="n">
        <x:f>IF($B$19&lt;30,M40*(1-$B$19/30)+L40*$B$19/30,IF($B$19&lt;60,L40*(2-$B$19/30)+K40*($B$19/30-1),IF($B$19&lt;=90,K40*(3-$B$19/30)+J40*($B$19/30-2),0)))</x:f>
        <x:v>400000</x:v>
      </x:c>
      <x:c r="N51" s="41" t="n">
        <x:f>IF($B$19&lt;30,N40*(1-$B$19/30)+M40*$B$19/30,IF($B$19&lt;60,M40*(2-$B$19/30)+L40*($B$19/30-1),IF($B$19&lt;=90,L40*(3-$B$19/30)+K40*($B$19/30-2),0)))</x:f>
        <x:v>450000</x:v>
      </x:c>
      <x:c r="O51" s="41" t="n">
        <x:f>IF($B$19&lt;30,O40*(1-$B$19/30)+N40*$B$19/30,IF($B$19&lt;60,N40*(2-$B$19/30)+M40*($B$19/30-1),IF($B$19&lt;=90,M40*(3-$B$19/30)+L40*($B$19/30-2),0)))</x:f>
        <x:v>450000</x:v>
      </x:c>
    </x:row>
    <x:row r="52" ht="20" customHeight="1">
      <x:c r="A52" s="4" t="str">
        <x:v>Closing receivables</x:v>
      </x:c>
      <x:c r="B52" s="4"/>
      <x:c r="C52" s="4"/>
      <x:c r="D52" s="41" t="n">
        <x:f>0+D40-D51</x:f>
        <x:v>200000</x:v>
      </x:c>
      <x:c r="E52" s="41" t="n">
        <x:f>D52+E40-E51</x:f>
        <x:v>250000</x:v>
      </x:c>
      <x:c r="F52" s="41" t="n">
        <x:f>E52+F40-F51</x:f>
        <x:v>300000</x:v>
      </x:c>
      <x:c r="G52" s="41" t="n">
        <x:f>F52+G40-G51</x:f>
        <x:v>350000</x:v>
      </x:c>
      <x:c r="H52" s="41" t="n">
        <x:f>G52+H40-H51</x:f>
        <x:v>400000</x:v>
      </x:c>
      <x:c r="I52" s="41" t="n">
        <x:f>H52+I40-I51</x:f>
        <x:v>400000</x:v>
      </x:c>
      <x:c r="J52" s="41" t="n">
        <x:f>I52+J40-J51</x:f>
        <x:v>400000</x:v>
      </x:c>
      <x:c r="K52" s="41" t="n">
        <x:f>J52+K40-K51</x:f>
        <x:v>400000</x:v>
      </x:c>
      <x:c r="L52" s="41" t="n">
        <x:f>K52+L40-L51</x:f>
        <x:v>400000</x:v>
      </x:c>
      <x:c r="M52" s="41" t="n">
        <x:f>L52+M40-M51</x:f>
        <x:v>450000</x:v>
      </x:c>
      <x:c r="N52" s="41" t="n">
        <x:f>M52+N40-N51</x:f>
        <x:v>450000</x:v>
      </x:c>
      <x:c r="O52" s="41" t="n">
        <x:f>N52+O40-O51</x:f>
        <x:v>450000</x:v>
      </x:c>
    </x:row>
    <x:row r="53" ht="20" customHeight="1">
      <x:c r="A53" s="4" t="str">
        <x:v>Closing inventory target</x:v>
      </x:c>
      <x:c r="B53" s="4"/>
      <x:c r="C53" s="4"/>
      <x:c r="D53" s="41" t="n">
        <x:f>D41*$B$13*$B$20/30</x:f>
        <x:v>0</x:v>
      </x:c>
      <x:c r="E53" s="41" t="n">
        <x:f>E41*$B$13*$B$20/30</x:f>
        <x:v>0</x:v>
      </x:c>
      <x:c r="F53" s="41" t="n">
        <x:f>F41*$B$13*$B$20/30</x:f>
        <x:v>0</x:v>
      </x:c>
      <x:c r="G53" s="41" t="n">
        <x:f>G41*$B$13*$B$20/30</x:f>
        <x:v>0</x:v>
      </x:c>
      <x:c r="H53" s="41" t="n">
        <x:f>H41*$B$13*$B$20/30</x:f>
        <x:v>0</x:v>
      </x:c>
      <x:c r="I53" s="41" t="n">
        <x:f>I41*$B$13*$B$20/30</x:f>
        <x:v>0</x:v>
      </x:c>
      <x:c r="J53" s="41" t="n">
        <x:f>J41*$B$13*$B$20/30</x:f>
        <x:v>0</x:v>
      </x:c>
      <x:c r="K53" s="41" t="n">
        <x:f>K41*$B$13*$B$20/30</x:f>
        <x:v>0</x:v>
      </x:c>
      <x:c r="L53" s="41" t="n">
        <x:f>L41*$B$13*$B$20/30</x:f>
        <x:v>0</x:v>
      </x:c>
      <x:c r="M53" s="41" t="n">
        <x:f>M41*$B$13*$B$20/30</x:f>
        <x:v>0</x:v>
      </x:c>
      <x:c r="N53" s="41" t="n">
        <x:f>N41*$B$13*$B$20/30</x:f>
        <x:v>0</x:v>
      </x:c>
      <x:c r="O53" s="41" t="n">
        <x:f>O41*$B$13*$B$20/30</x:f>
        <x:v>0</x:v>
      </x:c>
    </x:row>
    <x:row r="54" ht="20" customHeight="1">
      <x:c r="A54" s="4" t="str">
        <x:v>Change in inventory</x:v>
      </x:c>
      <x:c r="B54" s="4"/>
      <x:c r="C54" s="4"/>
      <x:c r="D54" s="41" t="n">
        <x:f>D53-0</x:f>
        <x:v>0</x:v>
      </x:c>
      <x:c r="E54" s="41" t="n">
        <x:f>E53-D53</x:f>
        <x:v>0</x:v>
      </x:c>
      <x:c r="F54" s="41" t="n">
        <x:f>F53-E53</x:f>
        <x:v>0</x:v>
      </x:c>
      <x:c r="G54" s="41" t="n">
        <x:f>G53-F53</x:f>
        <x:v>0</x:v>
      </x:c>
      <x:c r="H54" s="41" t="n">
        <x:f>H53-G53</x:f>
        <x:v>0</x:v>
      </x:c>
      <x:c r="I54" s="41" t="n">
        <x:f>I53-H53</x:f>
        <x:v>0</x:v>
      </x:c>
      <x:c r="J54" s="41" t="n">
        <x:f>J53-I53</x:f>
        <x:v>0</x:v>
      </x:c>
      <x:c r="K54" s="41" t="n">
        <x:f>K53-J53</x:f>
        <x:v>0</x:v>
      </x:c>
      <x:c r="L54" s="41" t="n">
        <x:f>L53-K53</x:f>
        <x:v>0</x:v>
      </x:c>
      <x:c r="M54" s="41" t="n">
        <x:f>M53-L53</x:f>
        <x:v>0</x:v>
      </x:c>
      <x:c r="N54" s="41" t="n">
        <x:f>N53-M53</x:f>
        <x:v>0</x:v>
      </x:c>
      <x:c r="O54" s="41" t="n">
        <x:f>O53-N53</x:f>
        <x:v>0</x:v>
      </x:c>
    </x:row>
    <x:row r="55" ht="20" customHeight="1">
      <x:c r="A55" s="4" t="str">
        <x:v>Purchases / variable cash obligation</x:v>
      </x:c>
      <x:c r="B55" s="4"/>
      <x:c r="C55" s="4"/>
      <x:c r="D55" s="41" t="n">
        <x:f>D41+D54</x:f>
        <x:v>68000</x:v>
      </x:c>
      <x:c r="E55" s="41" t="n">
        <x:f>E41+E54</x:f>
        <x:v>85000</x:v>
      </x:c>
      <x:c r="F55" s="41" t="n">
        <x:f>F41+F54</x:f>
        <x:v>102000</x:v>
      </x:c>
      <x:c r="G55" s="41" t="n">
        <x:f>G41+G54</x:f>
        <x:v>119000</x:v>
      </x:c>
      <x:c r="H55" s="41" t="n">
        <x:f>H41+H54</x:f>
        <x:v>136000</x:v>
      </x:c>
      <x:c r="I55" s="41" t="n">
        <x:f>I41+I54</x:f>
        <x:v>136000</x:v>
      </x:c>
      <x:c r="J55" s="41" t="n">
        <x:f>J41+J54</x:f>
        <x:v>136000</x:v>
      </x:c>
      <x:c r="K55" s="41" t="n">
        <x:f>K41+K54</x:f>
        <x:v>136000</x:v>
      </x:c>
      <x:c r="L55" s="41" t="n">
        <x:f>L41+L54</x:f>
        <x:v>136000</x:v>
      </x:c>
      <x:c r="M55" s="41" t="n">
        <x:f>M41+M54</x:f>
        <x:v>153000</x:v>
      </x:c>
      <x:c r="N55" s="41" t="n">
        <x:f>N41+N54</x:f>
        <x:v>153000</x:v>
      </x:c>
      <x:c r="O55" s="41" t="n">
        <x:f>O41+O54</x:f>
        <x:v>153000</x:v>
      </x:c>
    </x:row>
    <x:row r="56" ht="20" customHeight="1">
      <x:c r="A56" s="4" t="str">
        <x:v>Credit-eligible purchases</x:v>
      </x:c>
      <x:c r="B56" s="4"/>
      <x:c r="C56" s="4"/>
      <x:c r="D56" s="41" t="n">
        <x:f>D55*$B$14</x:f>
        <x:v>30600</x:v>
      </x:c>
      <x:c r="E56" s="41" t="n">
        <x:f>E55*$B$14</x:f>
        <x:v>38250</x:v>
      </x:c>
      <x:c r="F56" s="41" t="n">
        <x:f>F55*$B$14</x:f>
        <x:v>45900</x:v>
      </x:c>
      <x:c r="G56" s="41" t="n">
        <x:f>G55*$B$14</x:f>
        <x:v>53550</x:v>
      </x:c>
      <x:c r="H56" s="41" t="n">
        <x:f>H55*$B$14</x:f>
        <x:v>61200</x:v>
      </x:c>
      <x:c r="I56" s="41" t="n">
        <x:f>I55*$B$14</x:f>
        <x:v>61200</x:v>
      </x:c>
      <x:c r="J56" s="41" t="n">
        <x:f>J55*$B$14</x:f>
        <x:v>61200</x:v>
      </x:c>
      <x:c r="K56" s="41" t="n">
        <x:f>K55*$B$14</x:f>
        <x:v>61200</x:v>
      </x:c>
      <x:c r="L56" s="41" t="n">
        <x:f>L55*$B$14</x:f>
        <x:v>61200</x:v>
      </x:c>
      <x:c r="M56" s="41" t="n">
        <x:f>M55*$B$14</x:f>
        <x:v>68850</x:v>
      </x:c>
      <x:c r="N56" s="41" t="n">
        <x:f>N55*$B$14</x:f>
        <x:v>68850</x:v>
      </x:c>
      <x:c r="O56" s="41" t="n">
        <x:f>O55*$B$14</x:f>
        <x:v>68850</x:v>
      </x:c>
    </x:row>
    <x:row r="57" ht="20" customHeight="1">
      <x:c r="A57" s="4" t="str">
        <x:v>Cash paid for variable costs</x:v>
      </x:c>
      <x:c r="B57" s="4"/>
      <x:c r="C57" s="4"/>
      <x:c r="D57" s="41" t="n">
        <x:f>D55-D56+IF($B$21&lt;30,D56*(1-$B$21/30)+0*$B$21/30,IF($B$21&lt;60,0*(2-$B$21/30)+0*($B$21/30-1),IF($B$21&lt;=90,0*(3-$B$21/30)+0*($B$21/30-2),0)))</x:f>
        <x:v>52700</x:v>
      </x:c>
      <x:c r="E57" s="41" t="n">
        <x:f>E55-E56+IF($B$21&lt;30,E56*(1-$B$21/30)+D56*$B$21/30,IF($B$21&lt;60,D56*(2-$B$21/30)+0*($B$21/30-1),IF($B$21&lt;=90,0*(3-$B$21/30)+0*($B$21/30-2),0)))</x:f>
        <x:v>81175</x:v>
      </x:c>
      <x:c r="F57" s="41" t="n">
        <x:f>F55-F56+IF($B$21&lt;30,F56*(1-$B$21/30)+E56*$B$21/30,IF($B$21&lt;60,E56*(2-$B$21/30)+D56*($B$21/30-1),IF($B$21&lt;=90,D56*(3-$B$21/30)+0*($B$21/30-2),0)))</x:f>
        <x:v>98175</x:v>
      </x:c>
      <x:c r="G57" s="41" t="n">
        <x:f>G55-G56+IF($B$21&lt;30,G56*(1-$B$21/30)+F56*$B$21/30,IF($B$21&lt;60,F56*(2-$B$21/30)+E56*($B$21/30-1),IF($B$21&lt;=90,E56*(3-$B$21/30)+D56*($B$21/30-2),0)))</x:f>
        <x:v>115175</x:v>
      </x:c>
      <x:c r="H57" s="41" t="n">
        <x:f>H55-H56+IF($B$21&lt;30,H56*(1-$B$21/30)+G56*$B$21/30,IF($B$21&lt;60,G56*(2-$B$21/30)+F56*($B$21/30-1),IF($B$21&lt;=90,F56*(3-$B$21/30)+E56*($B$21/30-2),0)))</x:f>
        <x:v>132175</x:v>
      </x:c>
      <x:c r="I57" s="41" t="n">
        <x:f>I55-I56+IF($B$21&lt;30,I56*(1-$B$21/30)+H56*$B$21/30,IF($B$21&lt;60,H56*(2-$B$21/30)+G56*($B$21/30-1),IF($B$21&lt;=90,G56*(3-$B$21/30)+F56*($B$21/30-2),0)))</x:f>
        <x:v>136000</x:v>
      </x:c>
      <x:c r="J57" s="41" t="n">
        <x:f>J55-J56+IF($B$21&lt;30,J56*(1-$B$21/30)+I56*$B$21/30,IF($B$21&lt;60,I56*(2-$B$21/30)+H56*($B$21/30-1),IF($B$21&lt;=90,H56*(3-$B$21/30)+G56*($B$21/30-2),0)))</x:f>
        <x:v>136000</x:v>
      </x:c>
      <x:c r="K57" s="41" t="n">
        <x:f>K55-K56+IF($B$21&lt;30,K56*(1-$B$21/30)+J56*$B$21/30,IF($B$21&lt;60,J56*(2-$B$21/30)+I56*($B$21/30-1),IF($B$21&lt;=90,I56*(3-$B$21/30)+H56*($B$21/30-2),0)))</x:f>
        <x:v>136000</x:v>
      </x:c>
      <x:c r="L57" s="41" t="n">
        <x:f>L55-L56+IF($B$21&lt;30,L56*(1-$B$21/30)+K56*$B$21/30,IF($B$21&lt;60,K56*(2-$B$21/30)+J56*($B$21/30-1),IF($B$21&lt;=90,J56*(3-$B$21/30)+I56*($B$21/30-2),0)))</x:f>
        <x:v>136000</x:v>
      </x:c>
      <x:c r="M57" s="41" t="n">
        <x:f>M55-M56+IF($B$21&lt;30,M56*(1-$B$21/30)+L56*$B$21/30,IF($B$21&lt;60,L56*(2-$B$21/30)+K56*($B$21/30-1),IF($B$21&lt;=90,K56*(3-$B$21/30)+J56*($B$21/30-2),0)))</x:f>
        <x:v>149175</x:v>
      </x:c>
      <x:c r="N57" s="41" t="n">
        <x:f>N55-N56+IF($B$21&lt;30,N56*(1-$B$21/30)+M56*$B$21/30,IF($B$21&lt;60,M56*(2-$B$21/30)+L56*($B$21/30-1),IF($B$21&lt;=90,L56*(3-$B$21/30)+K56*($B$21/30-2),0)))</x:f>
        <x:v>153000</x:v>
      </x:c>
      <x:c r="O57" s="41" t="n">
        <x:f>O55-O56+IF($B$21&lt;30,O56*(1-$B$21/30)+N56*$B$21/30,IF($B$21&lt;60,N56*(2-$B$21/30)+M56*($B$21/30-1),IF($B$21&lt;=90,M56*(3-$B$21/30)+L56*($B$21/30-2),0)))</x:f>
        <x:v>153000</x:v>
      </x:c>
    </x:row>
    <x:row r="58" ht="20" customHeight="1">
      <x:c r="A58" s="4" t="str">
        <x:v>Closing trade payables</x:v>
      </x:c>
      <x:c r="B58" s="4"/>
      <x:c r="C58" s="4"/>
      <x:c r="D58" s="41" t="n">
        <x:f>0+D56-(IF($B$21&lt;30,D56*(1-$B$21/30)+0*$B$21/30,IF($B$21&lt;60,0*(2-$B$21/30)+0*($B$21/30-1),IF($B$21&lt;=90,0*(3-$B$21/30)+0*($B$21/30-2),0))))</x:f>
        <x:v>15300</x:v>
      </x:c>
      <x:c r="E58" s="41" t="n">
        <x:f>D58+E56-(IF($B$21&lt;30,E56*(1-$B$21/30)+D56*$B$21/30,IF($B$21&lt;60,D56*(2-$B$21/30)+0*($B$21/30-1),IF($B$21&lt;=90,0*(3-$B$21/30)+0*($B$21/30-2),0))))</x:f>
        <x:v>19125</x:v>
      </x:c>
      <x:c r="F58" s="41" t="n">
        <x:f>E58+F56-(IF($B$21&lt;30,F56*(1-$B$21/30)+E56*$B$21/30,IF($B$21&lt;60,E56*(2-$B$21/30)+D56*($B$21/30-1),IF($B$21&lt;=90,D56*(3-$B$21/30)+0*($B$21/30-2),0))))</x:f>
        <x:v>22950</x:v>
      </x:c>
      <x:c r="G58" s="41" t="n">
        <x:f>F58+G56-(IF($B$21&lt;30,G56*(1-$B$21/30)+F56*$B$21/30,IF($B$21&lt;60,F56*(2-$B$21/30)+E56*($B$21/30-1),IF($B$21&lt;=90,E56*(3-$B$21/30)+D56*($B$21/30-2),0))))</x:f>
        <x:v>26775</x:v>
      </x:c>
      <x:c r="H58" s="41" t="n">
        <x:f>G58+H56-(IF($B$21&lt;30,H56*(1-$B$21/30)+G56*$B$21/30,IF($B$21&lt;60,G56*(2-$B$21/30)+F56*($B$21/30-1),IF($B$21&lt;=90,F56*(3-$B$21/30)+E56*($B$21/30-2),0))))</x:f>
        <x:v>30600</x:v>
      </x:c>
      <x:c r="I58" s="41" t="n">
        <x:f>H58+I56-(IF($B$21&lt;30,I56*(1-$B$21/30)+H56*$B$21/30,IF($B$21&lt;60,H56*(2-$B$21/30)+G56*($B$21/30-1),IF($B$21&lt;=90,G56*(3-$B$21/30)+F56*($B$21/30-2),0))))</x:f>
        <x:v>30600</x:v>
      </x:c>
      <x:c r="J58" s="41" t="n">
        <x:f>I58+J56-(IF($B$21&lt;30,J56*(1-$B$21/30)+I56*$B$21/30,IF($B$21&lt;60,I56*(2-$B$21/30)+H56*($B$21/30-1),IF($B$21&lt;=90,H56*(3-$B$21/30)+G56*($B$21/30-2),0))))</x:f>
        <x:v>30600</x:v>
      </x:c>
      <x:c r="K58" s="41" t="n">
        <x:f>J58+K56-(IF($B$21&lt;30,K56*(1-$B$21/30)+J56*$B$21/30,IF($B$21&lt;60,J56*(2-$B$21/30)+I56*($B$21/30-1),IF($B$21&lt;=90,I56*(3-$B$21/30)+H56*($B$21/30-2),0))))</x:f>
        <x:v>30600</x:v>
      </x:c>
      <x:c r="L58" s="41" t="n">
        <x:f>K58+L56-(IF($B$21&lt;30,L56*(1-$B$21/30)+K56*$B$21/30,IF($B$21&lt;60,K56*(2-$B$21/30)+J56*($B$21/30-1),IF($B$21&lt;=90,J56*(3-$B$21/30)+I56*($B$21/30-2),0))))</x:f>
        <x:v>30600</x:v>
      </x:c>
      <x:c r="M58" s="41" t="n">
        <x:f>L58+M56-(IF($B$21&lt;30,M56*(1-$B$21/30)+L56*$B$21/30,IF($B$21&lt;60,L56*(2-$B$21/30)+K56*($B$21/30-1),IF($B$21&lt;=90,K56*(3-$B$21/30)+J56*($B$21/30-2),0))))</x:f>
        <x:v>34425</x:v>
      </x:c>
      <x:c r="N58" s="41" t="n">
        <x:f>M58+N56-(IF($B$21&lt;30,N56*(1-$B$21/30)+M56*$B$21/30,IF($B$21&lt;60,M56*(2-$B$21/30)+L56*($B$21/30-1),IF($B$21&lt;=90,L56*(3-$B$21/30)+K56*($B$21/30-2),0))))</x:f>
        <x:v>34425</x:v>
      </x:c>
      <x:c r="O58" s="41" t="n">
        <x:f>N58+O56-(IF($B$21&lt;30,O56*(1-$B$21/30)+N56*$B$21/30,IF($B$21&lt;60,N56*(2-$B$21/30)+M56*($B$21/30-1),IF($B$21&lt;=90,M56*(3-$B$21/30)+L56*($B$21/30-2),0))))</x:f>
        <x:v>34425</x:v>
      </x:c>
    </x:row>
    <x:row r="59" ht="20" customHeight="1">
      <x:c r="A59" s="60" t="str">
        <x:v>Operating cash before interest/tax</x:v>
      </x:c>
      <x:c r="B59" s="60"/>
      <x:c r="C59" s="60"/>
      <x:c r="D59" s="61" t="n">
        <x:f>D51-D57-D43</x:f>
        <x:v>-232700</x:v>
      </x:c>
      <x:c r="E59" s="61" t="n">
        <x:f>E51-E57-E43</x:f>
        <x:v>-61175</x:v>
      </x:c>
      <x:c r="F59" s="61" t="n">
        <x:f>F51-F57-F43</x:f>
        <x:v>-28175</x:v>
      </x:c>
      <x:c r="G59" s="61" t="n">
        <x:f>G51-G57-G43</x:f>
        <x:v>4825</x:v>
      </x:c>
      <x:c r="H59" s="61" t="n">
        <x:f>H51-H57-H43</x:f>
        <x:v>37825</x:v>
      </x:c>
      <x:c r="I59" s="61" t="n">
        <x:f>I51-I57-I43</x:f>
        <x:v>84000</x:v>
      </x:c>
      <x:c r="J59" s="61" t="n">
        <x:f>J51-J57-J43</x:f>
        <x:v>84000</x:v>
      </x:c>
      <x:c r="K59" s="61" t="n">
        <x:f>K51-K57-K43</x:f>
        <x:v>84000</x:v>
      </x:c>
      <x:c r="L59" s="61" t="n">
        <x:f>L51-L57-L43</x:f>
        <x:v>84000</x:v>
      </x:c>
      <x:c r="M59" s="61" t="n">
        <x:f>M51-M57-M43</x:f>
        <x:v>70825</x:v>
      </x:c>
      <x:c r="N59" s="61" t="n">
        <x:f>N51-N57-N43</x:f>
        <x:v>117000</x:v>
      </x:c>
      <x:c r="O59" s="61" t="n">
        <x:f>O51-O57-O43</x:f>
        <x:v>117000</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-232700</x:v>
      </x:c>
      <x:c r="E62" s="61" t="n">
        <x:f>E59-E47-E48-E60-E61</x:f>
        <x:v>-61175</x:v>
      </x:c>
      <x:c r="F62" s="61" t="n">
        <x:f>F59-F47-F48-F60-F61</x:f>
        <x:v>-28175</x:v>
      </x:c>
      <x:c r="G62" s="61" t="n">
        <x:f>G59-G47-G48-G60-G61</x:f>
        <x:v>4825</x:v>
      </x:c>
      <x:c r="H62" s="61" t="n">
        <x:f>H59-H47-H48-H60-H61</x:f>
        <x:v>37825</x:v>
      </x:c>
      <x:c r="I62" s="61" t="n">
        <x:f>I59-I47-I48-I60-I61</x:f>
        <x:v>84000</x:v>
      </x:c>
      <x:c r="J62" s="61" t="n">
        <x:f>J59-J47-J48-J60-J61</x:f>
        <x:v>84000</x:v>
      </x:c>
      <x:c r="K62" s="61" t="n">
        <x:f>K59-K47-K48-K60-K61</x:f>
        <x:v>84000</x:v>
      </x:c>
      <x:c r="L62" s="61" t="n">
        <x:f>L59-L47-L48-L60-L61</x:f>
        <x:v>84000</x:v>
      </x:c>
      <x:c r="M62" s="61" t="n">
        <x:f>M59-M47-M48-M60-M61</x:f>
        <x:v>70825</x:v>
      </x:c>
      <x:c r="N62" s="61" t="n">
        <x:f>N59-N47-N48-N60-N61</x:f>
        <x:v>117000</x:v>
      </x:c>
      <x:c r="O62" s="61" t="n">
        <x:f>O59-O47-O48-O60-O61</x:f>
        <x:v>117000</x:v>
      </x:c>
    </x:row>
    <x:row r="63" ht="20" customHeight="1">
      <x:c r="A63" s="4" t="str">
        <x:v>Opening cash</x:v>
      </x:c>
      <x:c r="B63" s="4"/>
      <x:c r="C63" s="4"/>
      <x:c r="D63" s="41" t="n">
        <x:f>$B$18</x:f>
        <x:v>600000</x:v>
      </x:c>
      <x:c r="E63" s="41" t="n">
        <x:f>D64</x:f>
        <x:v>367300</x:v>
      </x:c>
      <x:c r="F63" s="41" t="n">
        <x:f>E64</x:f>
        <x:v>306125</x:v>
      </x:c>
      <x:c r="G63" s="41" t="n">
        <x:f>F64</x:f>
        <x:v>277950</x:v>
      </x:c>
      <x:c r="H63" s="41" t="n">
        <x:f>G64</x:f>
        <x:v>282775</x:v>
      </x:c>
      <x:c r="I63" s="41" t="n">
        <x:f>H64</x:f>
        <x:v>320600</x:v>
      </x:c>
      <x:c r="J63" s="41" t="n">
        <x:f>I64</x:f>
        <x:v>404600</x:v>
      </x:c>
      <x:c r="K63" s="41" t="n">
        <x:f>J64</x:f>
        <x:v>488600</x:v>
      </x:c>
      <x:c r="L63" s="41" t="n">
        <x:f>K64</x:f>
        <x:v>572600</x:v>
      </x:c>
      <x:c r="M63" s="41" t="n">
        <x:f>L64</x:f>
        <x:v>656600</x:v>
      </x:c>
      <x:c r="N63" s="41" t="n">
        <x:f>M64</x:f>
        <x:v>727425</x:v>
      </x:c>
      <x:c r="O63" s="41" t="n">
        <x:f>N64</x:f>
        <x:v>844425</x:v>
      </x:c>
    </x:row>
    <x:row r="64" ht="20" customHeight="1">
      <x:c r="A64" s="60" t="str">
        <x:v>Closing cash</x:v>
      </x:c>
      <x:c r="B64" s="60"/>
      <x:c r="C64" s="60"/>
      <x:c r="D64" s="61" t="n">
        <x:f>D63+D62</x:f>
        <x:v>367300</x:v>
      </x:c>
      <x:c r="E64" s="61" t="n">
        <x:f>E63+E62</x:f>
        <x:v>306125</x:v>
      </x:c>
      <x:c r="F64" s="61" t="n">
        <x:f>F63+F62</x:f>
        <x:v>277950</x:v>
      </x:c>
      <x:c r="G64" s="61" t="n">
        <x:f>G63+G62</x:f>
        <x:v>282775</x:v>
      </x:c>
      <x:c r="H64" s="61" t="n">
        <x:f>H63+H62</x:f>
        <x:v>320600</x:v>
      </x:c>
      <x:c r="I64" s="61" t="n">
        <x:f>I63+I62</x:f>
        <x:v>404600</x:v>
      </x:c>
      <x:c r="J64" s="61" t="n">
        <x:f>J63+J62</x:f>
        <x:v>488600</x:v>
      </x:c>
      <x:c r="K64" s="61" t="n">
        <x:f>K63+K62</x:f>
        <x:v>572600</x:v>
      </x:c>
      <x:c r="L64" s="61" t="n">
        <x:f>L63+L62</x:f>
        <x:v>656600</x:v>
      </x:c>
      <x:c r="M64" s="61" t="n">
        <x:f>M63+M62</x:f>
        <x:v>727425</x:v>
      </x:c>
      <x:c r="N64" s="61" t="n">
        <x:f>N63+N62</x:f>
        <x:v>844425</x:v>
      </x:c>
      <x:c r="O64" s="61" t="n">
        <x:f>O63+O62</x:f>
        <x:v>961425</x:v>
      </x:c>
    </x:row>
    <x:row r="65" ht="20" customHeight="1">
      <x:c r="A65" s="60" t="str">
        <x:v>Additional funding if closing cash &lt; 0</x:v>
      </x:c>
      <x:c r="B65" s="60"/>
      <x:c r="C65" s="60"/>
      <x:c r="D65" s="61" t="n">
        <x:f>MAX(0,-D64)</x:f>
        <x:v>0</x:v>
      </x:c>
      <x:c r="E65" s="61" t="n">
        <x:f>MAX(0,-E64)</x:f>
        <x:v>0</x:v>
      </x:c>
      <x:c r="F65" s="61" t="n">
        <x:f>MAX(0,-F64)</x:f>
        <x:v>0</x:v>
      </x:c>
      <x:c r="G65" s="61" t="n">
        <x:f>MAX(0,-G64)</x:f>
        <x:v>0</x:v>
      </x:c>
      <x:c r="H65" s="61" t="n">
        <x:f>MAX(0,-H64)</x:f>
        <x:v>0</x:v>
      </x:c>
      <x:c r="I65" s="61" t="n">
        <x:f>MAX(0,-I64)</x:f>
        <x:v>0</x:v>
      </x:c>
      <x:c r="J65" s="61" t="n">
        <x:f>MAX(0,-J64)</x:f>
        <x:v>0</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OK</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OK</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OK</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OK</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OK</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OK</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1130000</x:v>
      </x:c>
      <x:c r="C71" s="4"/>
      <x:c r="D71" s="2"/>
      <x:c r="E71" s="2"/>
      <x:c r="F71" s="2"/>
      <x:c r="G71" s="2"/>
      <x:c r="H71" s="2"/>
      <x:c r="I71" s="2"/>
      <x:c r="J71" s="2"/>
      <x:c r="K71" s="2"/>
      <x:c r="L71" s="2"/>
      <x:c r="M71" s="2"/>
      <x:c r="N71" s="2"/>
      <x:c r="O71" s="2"/>
    </x:row>
    <x:row r="72" ht="28" customHeight="1">
      <x:c r="A72" s="4" t="str">
        <x:v>Equity funding at startup</x:v>
      </x:c>
      <x:c r="B72" s="66" t="n">
        <x:f>MAX(0,SUM(B15:B18)-B23)</x:f>
        <x:v>1130000</x:v>
      </x:c>
      <x:c r="C72" s="4"/>
      <x:c r="D72" s="2"/>
      <x:c r="E72" s="2"/>
      <x:c r="F72" s="2"/>
      <x:c r="G72" s="2"/>
      <x:c r="H72" s="2"/>
      <x:c r="I72" s="2"/>
      <x:c r="J72" s="2"/>
      <x:c r="K72" s="2"/>
      <x:c r="L72" s="2"/>
      <x:c r="M72" s="2"/>
      <x:c r="N72" s="2"/>
      <x:c r="O72" s="2"/>
    </x:row>
    <x:row r="73" ht="28" customHeight="1">
      <x:c r="A73" s="4" t="str">
        <x:v>Steady monthly unit contribution</x:v>
      </x:c>
      <x:c r="B73" s="66" t="n">
        <x:f>B9*B26-B10*B27</x:f>
        <x:v>33000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6</x:v>
      </x:c>
      <x:c r="C74" s="4"/>
      <x:c r="D74" s="2"/>
      <x:c r="E74" s="2"/>
      <x:c r="F74" s="2"/>
      <x:c r="G74" s="2"/>
      <x:c r="H74" s="2"/>
      <x:c r="I74" s="2"/>
      <x:c r="J74" s="2"/>
      <x:c r="K74" s="2"/>
      <x:c r="L74" s="2"/>
      <x:c r="M74" s="2"/>
      <x:c r="N74" s="2"/>
      <x:c r="O74" s="2"/>
    </x:row>
    <x:row r="75" ht="28" customHeight="1">
      <x:c r="A75" s="4" t="str">
        <x:v>Year-one operating cash profit</x:v>
      </x:c>
      <x:c r="B75" s="66" t="n">
        <x:f>SUM(D44:O44)</x:f>
        <x:v>777000</x:v>
      </x:c>
      <x:c r="C75" s="4"/>
      <x:c r="D75" s="2"/>
      <x:c r="E75" s="2"/>
      <x:c r="F75" s="2"/>
      <x:c r="G75" s="2"/>
      <x:c r="H75" s="2"/>
      <x:c r="I75" s="2"/>
      <x:c r="J75" s="2"/>
      <x:c r="K75" s="2"/>
      <x:c r="L75" s="2"/>
      <x:c r="M75" s="2"/>
      <x:c r="N75" s="2"/>
      <x:c r="O75" s="2"/>
    </x:row>
    <x:row r="76" ht="28" customHeight="1">
      <x:c r="A76" s="4" t="str">
        <x:v>Year-one minimum closing cash</x:v>
      </x:c>
      <x:c r="B76" s="66" t="n">
        <x:f>MIN(D64:O64)</x:f>
        <x:v>277950</x:v>
      </x:c>
      <x:c r="C76" s="4"/>
      <x:c r="D76" s="2"/>
      <x:c r="E76" s="2"/>
      <x:c r="F76" s="2"/>
      <x:c r="G76" s="2"/>
      <x:c r="H76" s="2"/>
      <x:c r="I76" s="2"/>
      <x:c r="J76" s="2"/>
      <x:c r="K76" s="2"/>
      <x:c r="L76" s="2"/>
      <x:c r="M76" s="2"/>
      <x:c r="N76" s="2"/>
      <x:c r="O76" s="2"/>
    </x:row>
    <x:row r="77" ht="28" customHeight="1">
      <x:c r="A77" s="4" t="str">
        <x:v>Additional opening liquidity needed</x:v>
      </x:c>
      <x:c r="B77" s="66" t="n">
        <x:f>MAX(0,-MIN(D64:O64))</x:f>
        <x:v>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ILLUSTRATIVE</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0" priority="1">
      <x:formula>D64&lt;0</x:formula>
    </x:cfRule>
  </x:conditionalFormatting>
  <x:conditionalFormatting sqref="D66:O66">
    <x:cfRule type="expression" dxfId="41" priority="2">
      <x:formula>D66&lt;&gt;"OK"</x:formula>
    </x:cfRule>
  </x:conditionalFormatting>
  <x:pageMargins left="0.7" right="0.7" top="0.75" bottom="0.75" header="0.3" footer="0.3"/>
  <x:drawing xmlns:r="http://schemas.openxmlformats.org/officeDocument/2006/relationships" r:id="R249966a13e794818"/>
  <x:legacyDrawing xmlns:r="http://schemas.openxmlformats.org/officeDocument/2006/relationships" r:id="R73e24dded34d4eca"/>
</x:worksheet>
</file>

<file path=xl/worksheets/sheet6.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PCJ-20 | EV Charging Station &amp; Fleet Depot</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ILLUSTRATIVE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516950</x:v>
      </x:c>
      <x:c r="G7" s="2"/>
      <x:c r="H7" s="2"/>
      <x:c r="I7" s="2"/>
      <x:c r="J7" s="2"/>
      <x:c r="K7" s="2"/>
      <x:c r="L7" s="2"/>
      <x:c r="M7" s="2"/>
      <x:c r="N7" s="2"/>
      <x:c r="O7" s="2"/>
    </x:row>
    <x:row r="8" ht="38" customHeight="1">
      <x:c r="A8" s="90" t="str">
        <x:v>Base monthly units</x:v>
      </x:c>
      <x:c r="B8" s="106" t="n">
        <x:v>18000</x:v>
      </x:c>
      <x:c r="C8" s="90" t="str">
        <x:v>Billable output, not leads or maximum capacity.</x:v>
      </x:c>
      <x:c r="D8" s="2"/>
      <x:c r="E8" s="2" t="n">
        <x:v>2</x:v>
      </x:c>
      <x:c r="F8" s="40" t="n">
        <x:f>E64</x:f>
        <x:v>497535</x:v>
      </x:c>
      <x:c r="G8" s="2"/>
      <x:c r="H8" s="2"/>
      <x:c r="I8" s="2"/>
      <x:c r="J8" s="2"/>
      <x:c r="K8" s="2"/>
      <x:c r="L8" s="2"/>
      <x:c r="M8" s="2"/>
      <x:c r="N8" s="2"/>
      <x:c r="O8" s="2"/>
    </x:row>
    <x:row r="9" ht="38" customHeight="1">
      <x:c r="A9" s="90" t="str">
        <x:v>Net realised price / unit (INR)</x:v>
      </x:c>
      <x:c r="B9" s="106" t="n">
        <x:v>18</x:v>
      </x:c>
      <x:c r="C9" s="90" t="str">
        <x:v>Excludes GST; net of commercial reductions.</x:v>
      </x:c>
      <x:c r="D9" s="2"/>
      <x:c r="E9" s="2" t="n">
        <x:v>3</x:v>
      </x:c>
      <x:c r="F9" s="40" t="n">
        <x:f>F64</x:f>
        <x:v>498370</x:v>
      </x:c>
      <x:c r="G9" s="2"/>
      <x:c r="H9" s="2"/>
      <x:c r="I9" s="2"/>
      <x:c r="J9" s="2"/>
      <x:c r="K9" s="2"/>
      <x:c r="L9" s="2"/>
      <x:c r="M9" s="2"/>
      <x:c r="N9" s="2"/>
      <x:c r="O9" s="2"/>
    </x:row>
    <x:row r="10" ht="38" customHeight="1">
      <x:c r="A10" s="90" t="str">
        <x:v>Variable cash cost / unit (INR)</x:v>
      </x:c>
      <x:c r="B10" s="106" t="n">
        <x:v>10.5</x:v>
      </x:c>
      <x:c r="C10" s="90" t="str">
        <x:v>Include expected direct rework/returns where relevant.</x:v>
      </x:c>
      <x:c r="D10" s="2"/>
      <x:c r="E10" s="2" t="n">
        <x:v>4</x:v>
      </x:c>
      <x:c r="F10" s="40" t="n">
        <x:f>G64</x:f>
        <x:v>511760</x:v>
      </x:c>
      <x:c r="G10" s="2"/>
      <x:c r="H10" s="2"/>
      <x:c r="I10" s="2"/>
      <x:c r="J10" s="2"/>
      <x:c r="K10" s="2"/>
      <x:c r="L10" s="2"/>
      <x:c r="M10" s="2"/>
      <x:c r="N10" s="2"/>
      <x:c r="O10" s="2"/>
    </x:row>
    <x:row r="11" ht="38" customHeight="1">
      <x:c r="A11" s="90" t="str">
        <x:v>Fixed monthly cash cost (INR)</x:v>
      </x:c>
      <x:c r="B11" s="106" t="n">
        <x:v>110000</x:v>
      </x:c>
      <x:c r="C11" s="90" t="str">
        <x:v>Include supervision and realistic owner-replacement cost.</x:v>
      </x:c>
      <x:c r="D11" s="2"/>
      <x:c r="E11" s="2" t="n">
        <x:v>5</x:v>
      </x:c>
      <x:c r="F11" s="40" t="n">
        <x:f>H64</x:f>
        <x:v>530955</x:v>
      </x:c>
      <x:c r="G11" s="2"/>
      <x:c r="H11" s="2"/>
      <x:c r="I11" s="2"/>
      <x:c r="J11" s="2"/>
      <x:c r="K11" s="2"/>
      <x:c r="L11" s="2"/>
      <x:c r="M11" s="2"/>
      <x:c r="N11" s="2"/>
      <x:c r="O11" s="2"/>
    </x:row>
    <x:row r="12" ht="38" customHeight="1">
      <x:c r="A12" s="90" t="str">
        <x:v>Safe / saleable monthly capacity</x:v>
      </x:c>
      <x:c r="B12" s="106" t="n">
        <x:v>43200</x:v>
      </x:c>
      <x:c r="C12" s="90" t="str">
        <x:v>Planning input; does not certify safe technical capacity.</x:v>
      </x:c>
      <x:c r="D12" s="2"/>
      <x:c r="E12" s="2" t="n">
        <x:v>6</x:v>
      </x:c>
      <x:c r="F12" s="40" t="n">
        <x:f>I64</x:f>
        <x:v>556900</x:v>
      </x:c>
      <x:c r="G12" s="2"/>
      <x:c r="H12" s="2"/>
      <x:c r="I12" s="2"/>
      <x:c r="J12" s="2"/>
      <x:c r="K12" s="2"/>
      <x:c r="L12" s="2"/>
      <x:c r="M12" s="2"/>
      <x:c r="N12" s="2"/>
      <x:c r="O12" s="2"/>
    </x:row>
    <x:row r="13" ht="38" customHeight="1">
      <x:c r="A13" s="90" t="str">
        <x:v>Inventory-eligible share of variable cost</x:v>
      </x:c>
      <x:c r="B13" s="107" t="n">
        <x:v>0</x:v>
      </x:c>
      <x:c r="C13" s="90" t="str">
        <x:v>Only this share drives modelled inventory.</x:v>
      </x:c>
      <x:c r="D13" s="2"/>
      <x:c r="E13" s="2" t="n">
        <x:v>7</x:v>
      </x:c>
      <x:c r="F13" s="40" t="n">
        <x:f>J64</x:f>
        <x:v>581900</x:v>
      </x:c>
      <x:c r="G13" s="2"/>
      <x:c r="H13" s="2"/>
      <x:c r="I13" s="2"/>
      <x:c r="J13" s="2"/>
      <x:c r="K13" s="2"/>
      <x:c r="L13" s="2"/>
      <x:c r="M13" s="2"/>
      <x:c r="N13" s="2"/>
      <x:c r="O13" s="2"/>
    </x:row>
    <x:row r="14" ht="38" customHeight="1">
      <x:c r="A14" s="90" t="str">
        <x:v>Supplier-credit share of purchases</x:v>
      </x:c>
      <x:c r="B14" s="107" t="n">
        <x:v>1</x:v>
      </x:c>
      <x:c r="C14" s="90" t="str">
        <x:v>Other costs are paid currently; do not defer payroll unlawfully.</x:v>
      </x:c>
      <x:c r="D14" s="2"/>
      <x:c r="E14" s="2" t="n">
        <x:v>8</x:v>
      </x:c>
      <x:c r="F14" s="40" t="n">
        <x:f>K64</x:f>
        <x:v>614595</x:v>
      </x:c>
      <x:c r="G14" s="2"/>
      <x:c r="H14" s="2"/>
      <x:c r="I14" s="2"/>
      <x:c r="J14" s="2"/>
      <x:c r="K14" s="2"/>
      <x:c r="L14" s="2"/>
      <x:c r="M14" s="2"/>
      <x:c r="N14" s="2"/>
      <x:c r="O14" s="2"/>
    </x:row>
    <x:row r="15" ht="38" customHeight="1">
      <x:c r="A15" s="90" t="str">
        <x:v>Initial installed assets (INR)</x:v>
      </x:c>
      <x:c r="B15" s="106" t="n">
        <x:v>2400000</x:v>
      </x:c>
      <x:c r="C15" s="90" t="str">
        <x:v>Initial capex; further capex has a separate monthly row.</x:v>
      </x:c>
      <x:c r="D15" s="2"/>
      <x:c r="E15" s="2" t="n">
        <x:v>9</x:v>
      </x:c>
      <x:c r="F15" s="40" t="n">
        <x:f>L64</x:f>
        <x:v>646345</x:v>
      </x:c>
      <x:c r="G15" s="2"/>
      <x:c r="H15" s="2"/>
      <x:c r="I15" s="2"/>
      <x:c r="J15" s="2"/>
      <x:c r="K15" s="2"/>
      <x:c r="L15" s="2"/>
      <x:c r="M15" s="2"/>
      <x:c r="N15" s="2"/>
      <x:c r="O15" s="2"/>
    </x:row>
    <x:row r="16" ht="38" customHeight="1">
      <x:c r="A16" s="90" t="str">
        <x:v>Refundable startup deposits (INR)</x:v>
      </x:c>
      <x:c r="B16" s="106" t="n">
        <x:v>300000</x:v>
      </x:c>
      <x:c r="C16" s="90" t="str">
        <x:v>Cash funding, not immediate operating expense.</x:v>
      </x:c>
      <x:c r="D16" s="2"/>
      <x:c r="E16" s="2" t="n">
        <x:v>10</x:v>
      </x:c>
      <x:c r="F16" s="40" t="n">
        <x:f>M64</x:f>
        <x:v>685790</x:v>
      </x:c>
      <x:c r="G16" s="2"/>
      <x:c r="H16" s="2"/>
      <x:c r="I16" s="2"/>
      <x:c r="J16" s="2"/>
      <x:c r="K16" s="2"/>
      <x:c r="L16" s="2"/>
      <x:c r="M16" s="2"/>
      <x:c r="N16" s="2"/>
      <x:c r="O16" s="2"/>
    </x:row>
    <x:row r="17" ht="38" customHeight="1">
      <x:c r="A17" s="90" t="str">
        <x:v>Pre-opening expense (INR)</x:v>
      </x:c>
      <x:c r="B17" s="106" t="n">
        <x:v>150000</x:v>
      </x:c>
      <x:c r="C17" s="90" t="str">
        <x:v>Before month 1; excluded from forecast EBITDA.</x:v>
      </x:c>
      <x:c r="D17" s="2"/>
      <x:c r="E17" s="2" t="n">
        <x:v>11</x:v>
      </x:c>
      <x:c r="F17" s="40" t="n">
        <x:f>N64</x:f>
        <x:v>724290</x:v>
      </x:c>
      <x:c r="G17" s="2"/>
      <x:c r="H17" s="2"/>
      <x:c r="I17" s="2"/>
      <x:c r="J17" s="2"/>
      <x:c r="K17" s="2"/>
      <x:c r="L17" s="2"/>
      <x:c r="M17" s="2"/>
      <x:c r="N17" s="2"/>
      <x:c r="O17" s="2"/>
    </x:row>
    <x:row r="18" ht="38" customHeight="1">
      <x:c r="A18" s="90" t="str">
        <x:v>Opening cash reserve (INR)</x:v>
      </x:c>
      <x:c r="B18" s="106" t="n">
        <x:v>550000</x:v>
      </x:c>
      <x:c r="C18" s="90" t="str">
        <x:v>May be insufficient: review minimum closing cash.</x:v>
      </x:c>
      <x:c r="D18" s="2"/>
      <x:c r="E18" s="2" t="n">
        <x:v>12</x:v>
      </x:c>
      <x:c r="F18" s="40" t="n">
        <x:f>O64</x:f>
        <x:v>770485</x:v>
      </x:c>
      <x:c r="G18" s="2"/>
      <x:c r="H18" s="2"/>
      <x:c r="I18" s="2"/>
      <x:c r="J18" s="2"/>
      <x:c r="K18" s="2"/>
      <x:c r="L18" s="2"/>
      <x:c r="M18" s="2"/>
      <x:c r="N18" s="2"/>
      <x:c r="O18" s="2"/>
    </x:row>
    <x:row r="19" ht="38" customHeight="1">
      <x:c r="A19" s="90" t="str">
        <x:v>Collection lag (days; 0–90)</x:v>
      </x:c>
      <x:c r="B19" s="108" t="n">
        <x:v>7</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0</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15</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7</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billed kWh.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9000</x:v>
      </x:c>
      <x:c r="E36" s="41" t="n">
        <x:f>ROUND($B$8*E35*$B$25,0)</x:f>
        <x:v>11700</x:v>
      </x:c>
      <x:c r="F36" s="41" t="n">
        <x:f>ROUND($B$8*F35*$B$25,0)</x:f>
        <x:v>14400</x:v>
      </x:c>
      <x:c r="G36" s="41" t="n">
        <x:f>ROUND($B$8*G35*$B$25,0)</x:f>
        <x:v>16200</x:v>
      </x:c>
      <x:c r="H36" s="41" t="n">
        <x:f>ROUND($B$8*H35*$B$25,0)</x:f>
        <x:v>17100</x:v>
      </x:c>
      <x:c r="I36" s="41" t="n">
        <x:f>ROUND($B$8*I35*$B$25,0)</x:f>
        <x:v>18000</x:v>
      </x:c>
      <x:c r="J36" s="41" t="n">
        <x:f>ROUND($B$8*J35*$B$25,0)</x:f>
        <x:v>18000</x:v>
      </x:c>
      <x:c r="K36" s="41" t="n">
        <x:f>ROUND($B$8*K35*$B$25,0)</x:f>
        <x:v>18900</x:v>
      </x:c>
      <x:c r="L36" s="41" t="n">
        <x:f>ROUND($B$8*L35*$B$25,0)</x:f>
        <x:v>18900</x:v>
      </x:c>
      <x:c r="M36" s="41" t="n">
        <x:f>ROUND($B$8*M35*$B$25,0)</x:f>
        <x:v>19800</x:v>
      </x:c>
      <x:c r="N36" s="41" t="n">
        <x:f>ROUND($B$8*N35*$B$25,0)</x:f>
        <x:v>19800</x:v>
      </x:c>
      <x:c r="O36" s="41" t="n">
        <x:f>ROUND($B$8*O35*$B$25,0)</x:f>
        <x:v>20700</x:v>
      </x:c>
    </x:row>
    <x:row r="37" ht="20" customHeight="1">
      <x:c r="A37" s="4" t="str">
        <x:v>Safe / saleable capacity</x:v>
      </x:c>
      <x:c r="B37" s="4"/>
      <x:c r="C37" s="4"/>
      <x:c r="D37" s="41" t="n">
        <x:f>$B$12</x:f>
        <x:v>43200</x:v>
      </x:c>
      <x:c r="E37" s="41" t="n">
        <x:f>$B$12</x:f>
        <x:v>43200</x:v>
      </x:c>
      <x:c r="F37" s="41" t="n">
        <x:f>$B$12</x:f>
        <x:v>43200</x:v>
      </x:c>
      <x:c r="G37" s="41" t="n">
        <x:f>$B$12</x:f>
        <x:v>43200</x:v>
      </x:c>
      <x:c r="H37" s="41" t="n">
        <x:f>$B$12</x:f>
        <x:v>43200</x:v>
      </x:c>
      <x:c r="I37" s="41" t="n">
        <x:f>$B$12</x:f>
        <x:v>43200</x:v>
      </x:c>
      <x:c r="J37" s="41" t="n">
        <x:f>$B$12</x:f>
        <x:v>43200</x:v>
      </x:c>
      <x:c r="K37" s="41" t="n">
        <x:f>$B$12</x:f>
        <x:v>43200</x:v>
      </x:c>
      <x:c r="L37" s="41" t="n">
        <x:f>$B$12</x:f>
        <x:v>43200</x:v>
      </x:c>
      <x:c r="M37" s="41" t="n">
        <x:f>$B$12</x:f>
        <x:v>43200</x:v>
      </x:c>
      <x:c r="N37" s="41" t="n">
        <x:f>$B$12</x:f>
        <x:v>43200</x:v>
      </x:c>
      <x:c r="O37" s="41" t="n">
        <x:f>$B$12</x:f>
        <x:v>43200</x:v>
      </x:c>
    </x:row>
    <x:row r="38" ht="20" customHeight="1">
      <x:c r="A38" s="4" t="str">
        <x:v>Capacity utilisation</x:v>
      </x:c>
      <x:c r="B38" s="4"/>
      <x:c r="C38" s="4"/>
      <x:c r="D38" s="46" t="n">
        <x:f>IF(D37&gt;0,D36/D37,0)</x:f>
        <x:v>0.20833333333333334</x:v>
      </x:c>
      <x:c r="E38" s="46" t="n">
        <x:f>IF(E37&gt;0,E36/E37,0)</x:f>
        <x:v>0.2708333333333333</x:v>
      </x:c>
      <x:c r="F38" s="46" t="n">
        <x:f>IF(F37&gt;0,F36/F37,0)</x:f>
        <x:v>0.3333333333333333</x:v>
      </x:c>
      <x:c r="G38" s="46" t="n">
        <x:f>IF(G37&gt;0,G36/G37,0)</x:f>
        <x:v>0.375</x:v>
      </x:c>
      <x:c r="H38" s="46" t="n">
        <x:f>IF(H37&gt;0,H36/H37,0)</x:f>
        <x:v>0.3958333333333333</x:v>
      </x:c>
      <x:c r="I38" s="46" t="n">
        <x:f>IF(I37&gt;0,I36/I37,0)</x:f>
        <x:v>0.4166666666666667</x:v>
      </x:c>
      <x:c r="J38" s="46" t="n">
        <x:f>IF(J37&gt;0,J36/J37,0)</x:f>
        <x:v>0.4166666666666667</x:v>
      </x:c>
      <x:c r="K38" s="46" t="n">
        <x:f>IF(K37&gt;0,K36/K37,0)</x:f>
        <x:v>0.4375</x:v>
      </x:c>
      <x:c r="L38" s="46" t="n">
        <x:f>IF(L37&gt;0,L36/L37,0)</x:f>
        <x:v>0.4375</x:v>
      </x:c>
      <x:c r="M38" s="46" t="n">
        <x:f>IF(M37&gt;0,M36/M37,0)</x:f>
        <x:v>0.4583333333333333</x:v>
      </x:c>
      <x:c r="N38" s="46" t="n">
        <x:f>IF(N37&gt;0,N36/N37,0)</x:f>
        <x:v>0.4583333333333333</x:v>
      </x:c>
      <x:c r="O38" s="46" t="n">
        <x:f>IF(O37&gt;0,O36/O37,0)</x:f>
        <x:v>0.4791666666666667</x:v>
      </x:c>
    </x:row>
    <x:row r="39" ht="20" customHeight="1">
      <x:c r="A39" s="4" t="str">
        <x:v>Net realised unit price</x:v>
      </x:c>
      <x:c r="B39" s="4"/>
      <x:c r="C39" s="4"/>
      <x:c r="D39" s="41" t="n">
        <x:f>$B$9*$B$26</x:f>
        <x:v>18</x:v>
      </x:c>
      <x:c r="E39" s="41" t="n">
        <x:f>$B$9*$B$26</x:f>
        <x:v>18</x:v>
      </x:c>
      <x:c r="F39" s="41" t="n">
        <x:f>$B$9*$B$26</x:f>
        <x:v>18</x:v>
      </x:c>
      <x:c r="G39" s="41" t="n">
        <x:f>$B$9*$B$26</x:f>
        <x:v>18</x:v>
      </x:c>
      <x:c r="H39" s="41" t="n">
        <x:f>$B$9*$B$26</x:f>
        <x:v>18</x:v>
      </x:c>
      <x:c r="I39" s="41" t="n">
        <x:f>$B$9*$B$26</x:f>
        <x:v>18</x:v>
      </x:c>
      <x:c r="J39" s="41" t="n">
        <x:f>$B$9*$B$26</x:f>
        <x:v>18</x:v>
      </x:c>
      <x:c r="K39" s="41" t="n">
        <x:f>$B$9*$B$26</x:f>
        <x:v>18</x:v>
      </x:c>
      <x:c r="L39" s="41" t="n">
        <x:f>$B$9*$B$26</x:f>
        <x:v>18</x:v>
      </x:c>
      <x:c r="M39" s="41" t="n">
        <x:f>$B$9*$B$26</x:f>
        <x:v>18</x:v>
      </x:c>
      <x:c r="N39" s="41" t="n">
        <x:f>$B$9*$B$26</x:f>
        <x:v>18</x:v>
      </x:c>
      <x:c r="O39" s="41" t="n">
        <x:f>$B$9*$B$26</x:f>
        <x:v>18</x:v>
      </x:c>
    </x:row>
    <x:row r="40" ht="20" customHeight="1">
      <x:c r="A40" s="60" t="str">
        <x:v>Revenue, excluding GST</x:v>
      </x:c>
      <x:c r="B40" s="60"/>
      <x:c r="C40" s="60"/>
      <x:c r="D40" s="61" t="n">
        <x:f>D36*D39</x:f>
        <x:v>162000</x:v>
      </x:c>
      <x:c r="E40" s="61" t="n">
        <x:f>E36*E39</x:f>
        <x:v>210600</x:v>
      </x:c>
      <x:c r="F40" s="61" t="n">
        <x:f>F36*F39</x:f>
        <x:v>259200</x:v>
      </x:c>
      <x:c r="G40" s="61" t="n">
        <x:f>G36*G39</x:f>
        <x:v>291600</x:v>
      </x:c>
      <x:c r="H40" s="61" t="n">
        <x:f>H36*H39</x:f>
        <x:v>307800</x:v>
      </x:c>
      <x:c r="I40" s="61" t="n">
        <x:f>I36*I39</x:f>
        <x:v>324000</x:v>
      </x:c>
      <x:c r="J40" s="61" t="n">
        <x:f>J36*J39</x:f>
        <x:v>324000</x:v>
      </x:c>
      <x:c r="K40" s="61" t="n">
        <x:f>K36*K39</x:f>
        <x:v>340200</x:v>
      </x:c>
      <x:c r="L40" s="61" t="n">
        <x:f>L36*L39</x:f>
        <x:v>340200</x:v>
      </x:c>
      <x:c r="M40" s="61" t="n">
        <x:f>M36*M39</x:f>
        <x:v>356400</x:v>
      </x:c>
      <x:c r="N40" s="61" t="n">
        <x:f>N36*N39</x:f>
        <x:v>356400</x:v>
      </x:c>
      <x:c r="O40" s="61" t="n">
        <x:f>O36*O39</x:f>
        <x:v>372600</x:v>
      </x:c>
    </x:row>
    <x:row r="41" ht="20" customHeight="1">
      <x:c r="A41" s="4" t="str">
        <x:v>Variable cash cost</x:v>
      </x:c>
      <x:c r="B41" s="4"/>
      <x:c r="C41" s="4"/>
      <x:c r="D41" s="41" t="n">
        <x:f>D36*$B$10*$B$27</x:f>
        <x:v>94500</x:v>
      </x:c>
      <x:c r="E41" s="41" t="n">
        <x:f>E36*$B$10*$B$27</x:f>
        <x:v>122850</x:v>
      </x:c>
      <x:c r="F41" s="41" t="n">
        <x:f>F36*$B$10*$B$27</x:f>
        <x:v>151200</x:v>
      </x:c>
      <x:c r="G41" s="41" t="n">
        <x:f>G36*$B$10*$B$27</x:f>
        <x:v>170100</x:v>
      </x:c>
      <x:c r="H41" s="41" t="n">
        <x:f>H36*$B$10*$B$27</x:f>
        <x:v>179550</x:v>
      </x:c>
      <x:c r="I41" s="41" t="n">
        <x:f>I36*$B$10*$B$27</x:f>
        <x:v>189000</x:v>
      </x:c>
      <x:c r="J41" s="41" t="n">
        <x:f>J36*$B$10*$B$27</x:f>
        <x:v>189000</x:v>
      </x:c>
      <x:c r="K41" s="41" t="n">
        <x:f>K36*$B$10*$B$27</x:f>
        <x:v>198450</x:v>
      </x:c>
      <x:c r="L41" s="41" t="n">
        <x:f>L36*$B$10*$B$27</x:f>
        <x:v>198450</x:v>
      </x:c>
      <x:c r="M41" s="41" t="n">
        <x:f>M36*$B$10*$B$27</x:f>
        <x:v>207900</x:v>
      </x:c>
      <x:c r="N41" s="41" t="n">
        <x:f>N36*$B$10*$B$27</x:f>
        <x:v>207900</x:v>
      </x:c>
      <x:c r="O41" s="41" t="n">
        <x:f>O36*$B$10*$B$27</x:f>
        <x:v>217350</x:v>
      </x:c>
    </x:row>
    <x:row r="42" ht="20" customHeight="1">
      <x:c r="A42" s="4" t="str">
        <x:v>Contribution</x:v>
      </x:c>
      <x:c r="B42" s="4"/>
      <x:c r="C42" s="4"/>
      <x:c r="D42" s="41" t="n">
        <x:f>D40-D41</x:f>
        <x:v>67500</x:v>
      </x:c>
      <x:c r="E42" s="41" t="n">
        <x:f>E40-E41</x:f>
        <x:v>87750</x:v>
      </x:c>
      <x:c r="F42" s="41" t="n">
        <x:f>F40-F41</x:f>
        <x:v>108000</x:v>
      </x:c>
      <x:c r="G42" s="41" t="n">
        <x:f>G40-G41</x:f>
        <x:v>121500</x:v>
      </x:c>
      <x:c r="H42" s="41" t="n">
        <x:f>H40-H41</x:f>
        <x:v>128250</x:v>
      </x:c>
      <x:c r="I42" s="41" t="n">
        <x:f>I40-I41</x:f>
        <x:v>135000</x:v>
      </x:c>
      <x:c r="J42" s="41" t="n">
        <x:f>J40-J41</x:f>
        <x:v>135000</x:v>
      </x:c>
      <x:c r="K42" s="41" t="n">
        <x:f>K40-K41</x:f>
        <x:v>141750</x:v>
      </x:c>
      <x:c r="L42" s="41" t="n">
        <x:f>L40-L41</x:f>
        <x:v>141750</x:v>
      </x:c>
      <x:c r="M42" s="41" t="n">
        <x:f>M40-M41</x:f>
        <x:v>148500</x:v>
      </x:c>
      <x:c r="N42" s="41" t="n">
        <x:f>N40-N41</x:f>
        <x:v>148500</x:v>
      </x:c>
      <x:c r="O42" s="41" t="n">
        <x:f>O40-O41</x:f>
        <x:v>155250</x:v>
      </x:c>
    </x:row>
    <x:row r="43" ht="20" customHeight="1">
      <x:c r="A43" s="4" t="str">
        <x:v>Fixed cash cost</x:v>
      </x:c>
      <x:c r="B43" s="4"/>
      <x:c r="C43" s="4"/>
      <x:c r="D43" s="41" t="n">
        <x:f>$B$11*$B$28</x:f>
        <x:v>110000</x:v>
      </x:c>
      <x:c r="E43" s="41" t="n">
        <x:f>$B$11*$B$28</x:f>
        <x:v>110000</x:v>
      </x:c>
      <x:c r="F43" s="41" t="n">
        <x:f>$B$11*$B$28</x:f>
        <x:v>110000</x:v>
      </x:c>
      <x:c r="G43" s="41" t="n">
        <x:f>$B$11*$B$28</x:f>
        <x:v>110000</x:v>
      </x:c>
      <x:c r="H43" s="41" t="n">
        <x:f>$B$11*$B$28</x:f>
        <x:v>110000</x:v>
      </x:c>
      <x:c r="I43" s="41" t="n">
        <x:f>$B$11*$B$28</x:f>
        <x:v>110000</x:v>
      </x:c>
      <x:c r="J43" s="41" t="n">
        <x:f>$B$11*$B$28</x:f>
        <x:v>110000</x:v>
      </x:c>
      <x:c r="K43" s="41" t="n">
        <x:f>$B$11*$B$28</x:f>
        <x:v>110000</x:v>
      </x:c>
      <x:c r="L43" s="41" t="n">
        <x:f>$B$11*$B$28</x:f>
        <x:v>110000</x:v>
      </x:c>
      <x:c r="M43" s="41" t="n">
        <x:f>$B$11*$B$28</x:f>
        <x:v>110000</x:v>
      </x:c>
      <x:c r="N43" s="41" t="n">
        <x:f>$B$11*$B$28</x:f>
        <x:v>110000</x:v>
      </x:c>
      <x:c r="O43" s="41" t="n">
        <x:f>$B$11*$B$28</x:f>
        <x:v>110000</x:v>
      </x:c>
    </x:row>
    <x:row r="44" ht="20" customHeight="1">
      <x:c r="A44" s="60" t="str">
        <x:v>Operating cash profit (EBITDA)</x:v>
      </x:c>
      <x:c r="B44" s="60"/>
      <x:c r="C44" s="60"/>
      <x:c r="D44" s="61" t="n">
        <x:f>D42-D43</x:f>
        <x:v>-42500</x:v>
      </x:c>
      <x:c r="E44" s="61" t="n">
        <x:f>E42-E43</x:f>
        <x:v>-22250</x:v>
      </x:c>
      <x:c r="F44" s="61" t="n">
        <x:f>F42-F43</x:f>
        <x:v>-2000</x:v>
      </x:c>
      <x:c r="G44" s="61" t="n">
        <x:f>G42-G43</x:f>
        <x:v>11500</x:v>
      </x:c>
      <x:c r="H44" s="61" t="n">
        <x:f>H42-H43</x:f>
        <x:v>18250</x:v>
      </x:c>
      <x:c r="I44" s="61" t="n">
        <x:f>I42-I43</x:f>
        <x:v>25000</x:v>
      </x:c>
      <x:c r="J44" s="61" t="n">
        <x:f>J42-J43</x:f>
        <x:v>25000</x:v>
      </x:c>
      <x:c r="K44" s="61" t="n">
        <x:f>K42-K43</x:f>
        <x:v>31750</x:v>
      </x:c>
      <x:c r="L44" s="61" t="n">
        <x:f>L42-L43</x:f>
        <x:v>31750</x:v>
      </x:c>
      <x:c r="M44" s="61" t="n">
        <x:f>M42-M43</x:f>
        <x:v>38500</x:v>
      </x:c>
      <x:c r="N44" s="61" t="n">
        <x:f>N42-N43</x:f>
        <x:v>38500</x:v>
      </x:c>
      <x:c r="O44" s="61" t="n">
        <x:f>O42-O43</x:f>
        <x:v>45250</x:v>
      </x:c>
    </x:row>
    <x:row r="45" ht="20" customHeight="1">
      <x:c r="A45" s="4" t="str">
        <x:v>Illustrative depreciation</x:v>
      </x:c>
      <x:c r="B45" s="4"/>
      <x:c r="C45" s="4"/>
      <x:c r="D45" s="41" t="n">
        <x:f>IF($B$22&gt;0,$B$15/$B$22/12,0)</x:f>
        <x:v>28571.42857142857</x:v>
      </x:c>
      <x:c r="E45" s="41" t="n">
        <x:f>IF($B$22&gt;0,$B$15/$B$22/12,0)</x:f>
        <x:v>28571.42857142857</x:v>
      </x:c>
      <x:c r="F45" s="41" t="n">
        <x:f>IF($B$22&gt;0,$B$15/$B$22/12,0)</x:f>
        <x:v>28571.42857142857</x:v>
      </x:c>
      <x:c r="G45" s="41" t="n">
        <x:f>IF($B$22&gt;0,$B$15/$B$22/12,0)</x:f>
        <x:v>28571.42857142857</x:v>
      </x:c>
      <x:c r="H45" s="41" t="n">
        <x:f>IF($B$22&gt;0,$B$15/$B$22/12,0)</x:f>
        <x:v>28571.42857142857</x:v>
      </x:c>
      <x:c r="I45" s="41" t="n">
        <x:f>IF($B$22&gt;0,$B$15/$B$22/12,0)</x:f>
        <x:v>28571.42857142857</x:v>
      </x:c>
      <x:c r="J45" s="41" t="n">
        <x:f>IF($B$22&gt;0,$B$15/$B$22/12,0)</x:f>
        <x:v>28571.42857142857</x:v>
      </x:c>
      <x:c r="K45" s="41" t="n">
        <x:f>IF($B$22&gt;0,$B$15/$B$22/12,0)</x:f>
        <x:v>28571.42857142857</x:v>
      </x:c>
      <x:c r="L45" s="41" t="n">
        <x:f>IF($B$22&gt;0,$B$15/$B$22/12,0)</x:f>
        <x:v>28571.42857142857</x:v>
      </x:c>
      <x:c r="M45" s="41" t="n">
        <x:f>IF($B$22&gt;0,$B$15/$B$22/12,0)</x:f>
        <x:v>28571.42857142857</x:v>
      </x:c>
      <x:c r="N45" s="41" t="n">
        <x:f>IF($B$22&gt;0,$B$15/$B$22/12,0)</x:f>
        <x:v>28571.42857142857</x:v>
      </x:c>
      <x:c r="O45" s="41" t="n">
        <x:f>IF($B$22&gt;0,$B$15/$B$22/12,0)</x:f>
        <x:v>28571.42857142857</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-71071.42857142857</x:v>
      </x:c>
      <x:c r="E50" s="61" t="n">
        <x:f>E44-E45-E47</x:f>
        <x:v>-50821.428571428565</x:v>
      </x:c>
      <x:c r="F50" s="61" t="n">
        <x:f>F44-F45-F47</x:f>
        <x:v>-30571.42857142857</x:v>
      </x:c>
      <x:c r="G50" s="61" t="n">
        <x:f>G44-G45-G47</x:f>
        <x:v>-17071.42857142857</x:v>
      </x:c>
      <x:c r="H50" s="61" t="n">
        <x:f>H44-H45-H47</x:f>
        <x:v>-10321.428571428569</x:v>
      </x:c>
      <x:c r="I50" s="61" t="n">
        <x:f>I44-I45-I47</x:f>
        <x:v>-3571.428571428569</x:v>
      </x:c>
      <x:c r="J50" s="61" t="n">
        <x:f>J44-J45-J47</x:f>
        <x:v>-3571.428571428569</x:v>
      </x:c>
      <x:c r="K50" s="61" t="n">
        <x:f>K44-K45-K47</x:f>
        <x:v>3178.571428571431</x:v>
      </x:c>
      <x:c r="L50" s="61" t="n">
        <x:f>L44-L45-L47</x:f>
        <x:v>3178.571428571431</x:v>
      </x:c>
      <x:c r="M50" s="61" t="n">
        <x:f>M44-M45-M47</x:f>
        <x:v>9928.571428571431</x:v>
      </x:c>
      <x:c r="N50" s="61" t="n">
        <x:f>N44-N45-N47</x:f>
        <x:v>9928.571428571431</x:v>
      </x:c>
      <x:c r="O50" s="61" t="n">
        <x:f>O44-O45-O47</x:f>
        <x:v>16678.57142857143</x:v>
      </x:c>
    </x:row>
    <x:row r="51" ht="20" customHeight="1">
      <x:c r="A51" s="4" t="str">
        <x:v>Customer cash receipts</x:v>
      </x:c>
      <x:c r="B51" s="4"/>
      <x:c r="C51" s="4"/>
      <x:c r="D51" s="41" t="n">
        <x:f>IF($B$19&lt;30,D40*(1-$B$19/30)+0*$B$19/30,IF($B$19&lt;60,0*(2-$B$19/30)+0*($B$19/30-1),IF($B$19&lt;=90,0*(3-$B$19/30)+0*($B$19/30-2),0)))</x:f>
        <x:v>124199.99999999999</x:v>
      </x:c>
      <x:c r="E51" s="41" t="n">
        <x:f>IF($B$19&lt;30,E40*(1-$B$19/30)+D40*$B$19/30,IF($B$19&lt;60,D40*(2-$B$19/30)+0*($B$19/30-1),IF($B$19&lt;=90,0*(3-$B$19/30)+0*($B$19/30-2),0)))</x:f>
        <x:v>199260</x:v>
      </x:c>
      <x:c r="F51" s="41" t="n">
        <x:f>IF($B$19&lt;30,F40*(1-$B$19/30)+E40*$B$19/30,IF($B$19&lt;60,E40*(2-$B$19/30)+D40*($B$19/30-1),IF($B$19&lt;=90,D40*(3-$B$19/30)+0*($B$19/30-2),0)))</x:f>
        <x:v>247859.99999999997</x:v>
      </x:c>
      <x:c r="G51" s="41" t="n">
        <x:f>IF($B$19&lt;30,G40*(1-$B$19/30)+F40*$B$19/30,IF($B$19&lt;60,F40*(2-$B$19/30)+E40*($B$19/30-1),IF($B$19&lt;=90,E40*(3-$B$19/30)+D40*($B$19/30-2),0)))</x:f>
        <x:v>284040</x:v>
      </x:c>
      <x:c r="H51" s="41" t="n">
        <x:f>IF($B$19&lt;30,H40*(1-$B$19/30)+G40*$B$19/30,IF($B$19&lt;60,G40*(2-$B$19/30)+F40*($B$19/30-1),IF($B$19&lt;=90,F40*(3-$B$19/30)+E40*($B$19/30-2),0)))</x:f>
        <x:v>304020</x:v>
      </x:c>
      <x:c r="I51" s="41" t="n">
        <x:f>IF($B$19&lt;30,I40*(1-$B$19/30)+H40*$B$19/30,IF($B$19&lt;60,H40*(2-$B$19/30)+G40*($B$19/30-1),IF($B$19&lt;=90,G40*(3-$B$19/30)+F40*($B$19/30-2),0)))</x:f>
        <x:v>320220</x:v>
      </x:c>
      <x:c r="J51" s="41" t="n">
        <x:f>IF($B$19&lt;30,J40*(1-$B$19/30)+I40*$B$19/30,IF($B$19&lt;60,I40*(2-$B$19/30)+H40*($B$19/30-1),IF($B$19&lt;=90,H40*(3-$B$19/30)+G40*($B$19/30-2),0)))</x:f>
        <x:v>324000</x:v>
      </x:c>
      <x:c r="K51" s="41" t="n">
        <x:f>IF($B$19&lt;30,K40*(1-$B$19/30)+J40*$B$19/30,IF($B$19&lt;60,J40*(2-$B$19/30)+I40*($B$19/30-1),IF($B$19&lt;=90,I40*(3-$B$19/30)+H40*($B$19/30-2),0)))</x:f>
        <x:v>336420</x:v>
      </x:c>
      <x:c r="L51" s="41" t="n">
        <x:f>IF($B$19&lt;30,L40*(1-$B$19/30)+K40*$B$19/30,IF($B$19&lt;60,K40*(2-$B$19/30)+J40*($B$19/30-1),IF($B$19&lt;=90,J40*(3-$B$19/30)+I40*($B$19/30-2),0)))</x:f>
        <x:v>340200</x:v>
      </x:c>
      <x:c r="M51" s="41" t="n">
        <x:f>IF($B$19&lt;30,M40*(1-$B$19/30)+L40*$B$19/30,IF($B$19&lt;60,L40*(2-$B$19/30)+K40*($B$19/30-1),IF($B$19&lt;=90,K40*(3-$B$19/30)+J40*($B$19/30-2),0)))</x:f>
        <x:v>352620</x:v>
      </x:c>
      <x:c r="N51" s="41" t="n">
        <x:f>IF($B$19&lt;30,N40*(1-$B$19/30)+M40*$B$19/30,IF($B$19&lt;60,M40*(2-$B$19/30)+L40*($B$19/30-1),IF($B$19&lt;=90,L40*(3-$B$19/30)+K40*($B$19/30-2),0)))</x:f>
        <x:v>356400</x:v>
      </x:c>
      <x:c r="O51" s="41" t="n">
        <x:f>IF($B$19&lt;30,O40*(1-$B$19/30)+N40*$B$19/30,IF($B$19&lt;60,N40*(2-$B$19/30)+M40*($B$19/30-1),IF($B$19&lt;=90,M40*(3-$B$19/30)+L40*($B$19/30-2),0)))</x:f>
        <x:v>368820</x:v>
      </x:c>
    </x:row>
    <x:row r="52" ht="20" customHeight="1">
      <x:c r="A52" s="4" t="str">
        <x:v>Closing receivables</x:v>
      </x:c>
      <x:c r="B52" s="4"/>
      <x:c r="C52" s="4"/>
      <x:c r="D52" s="41" t="n">
        <x:f>0+D40-D51</x:f>
        <x:v>37800.000000000015</x:v>
      </x:c>
      <x:c r="E52" s="41" t="n">
        <x:f>D52+E40-E51</x:f>
        <x:v>49140</x:v>
      </x:c>
      <x:c r="F52" s="41" t="n">
        <x:f>E52+F40-F51</x:f>
        <x:v>60480.00000000003</x:v>
      </x:c>
      <x:c r="G52" s="41" t="n">
        <x:f>F52+G40-G51</x:f>
        <x:v>68040</x:v>
      </x:c>
      <x:c r="H52" s="41" t="n">
        <x:f>G52+H40-H51</x:f>
        <x:v>71820</x:v>
      </x:c>
      <x:c r="I52" s="41" t="n">
        <x:f>H52+I40-I51</x:f>
        <x:v>75600</x:v>
      </x:c>
      <x:c r="J52" s="41" t="n">
        <x:f>I52+J40-J51</x:f>
        <x:v>75600</x:v>
      </x:c>
      <x:c r="K52" s="41" t="n">
        <x:f>J52+K40-K51</x:f>
        <x:v>79380</x:v>
      </x:c>
      <x:c r="L52" s="41" t="n">
        <x:f>K52+L40-L51</x:f>
        <x:v>79380</x:v>
      </x:c>
      <x:c r="M52" s="41" t="n">
        <x:f>L52+M40-M51</x:f>
        <x:v>83160</x:v>
      </x:c>
      <x:c r="N52" s="41" t="n">
        <x:f>M52+N40-N51</x:f>
        <x:v>83160</x:v>
      </x:c>
      <x:c r="O52" s="41" t="n">
        <x:f>N52+O40-O51</x:f>
        <x:v>86940</x:v>
      </x:c>
    </x:row>
    <x:row r="53" ht="20" customHeight="1">
      <x:c r="A53" s="4" t="str">
        <x:v>Closing inventory target</x:v>
      </x:c>
      <x:c r="B53" s="4"/>
      <x:c r="C53" s="4"/>
      <x:c r="D53" s="41" t="n">
        <x:f>D41*$B$13*$B$20/30</x:f>
        <x:v>0</x:v>
      </x:c>
      <x:c r="E53" s="41" t="n">
        <x:f>E41*$B$13*$B$20/30</x:f>
        <x:v>0</x:v>
      </x:c>
      <x:c r="F53" s="41" t="n">
        <x:f>F41*$B$13*$B$20/30</x:f>
        <x:v>0</x:v>
      </x:c>
      <x:c r="G53" s="41" t="n">
        <x:f>G41*$B$13*$B$20/30</x:f>
        <x:v>0</x:v>
      </x:c>
      <x:c r="H53" s="41" t="n">
        <x:f>H41*$B$13*$B$20/30</x:f>
        <x:v>0</x:v>
      </x:c>
      <x:c r="I53" s="41" t="n">
        <x:f>I41*$B$13*$B$20/30</x:f>
        <x:v>0</x:v>
      </x:c>
      <x:c r="J53" s="41" t="n">
        <x:f>J41*$B$13*$B$20/30</x:f>
        <x:v>0</x:v>
      </x:c>
      <x:c r="K53" s="41" t="n">
        <x:f>K41*$B$13*$B$20/30</x:f>
        <x:v>0</x:v>
      </x:c>
      <x:c r="L53" s="41" t="n">
        <x:f>L41*$B$13*$B$20/30</x:f>
        <x:v>0</x:v>
      </x:c>
      <x:c r="M53" s="41" t="n">
        <x:f>M41*$B$13*$B$20/30</x:f>
        <x:v>0</x:v>
      </x:c>
      <x:c r="N53" s="41" t="n">
        <x:f>N41*$B$13*$B$20/30</x:f>
        <x:v>0</x:v>
      </x:c>
      <x:c r="O53" s="41" t="n">
        <x:f>O41*$B$13*$B$20/30</x:f>
        <x:v>0</x:v>
      </x:c>
    </x:row>
    <x:row r="54" ht="20" customHeight="1">
      <x:c r="A54" s="4" t="str">
        <x:v>Change in inventory</x:v>
      </x:c>
      <x:c r="B54" s="4"/>
      <x:c r="C54" s="4"/>
      <x:c r="D54" s="41" t="n">
        <x:f>D53-0</x:f>
        <x:v>0</x:v>
      </x:c>
      <x:c r="E54" s="41" t="n">
        <x:f>E53-D53</x:f>
        <x:v>0</x:v>
      </x:c>
      <x:c r="F54" s="41" t="n">
        <x:f>F53-E53</x:f>
        <x:v>0</x:v>
      </x:c>
      <x:c r="G54" s="41" t="n">
        <x:f>G53-F53</x:f>
        <x:v>0</x:v>
      </x:c>
      <x:c r="H54" s="41" t="n">
        <x:f>H53-G53</x:f>
        <x:v>0</x:v>
      </x:c>
      <x:c r="I54" s="41" t="n">
        <x:f>I53-H53</x:f>
        <x:v>0</x:v>
      </x:c>
      <x:c r="J54" s="41" t="n">
        <x:f>J53-I53</x:f>
        <x:v>0</x:v>
      </x:c>
      <x:c r="K54" s="41" t="n">
        <x:f>K53-J53</x:f>
        <x:v>0</x:v>
      </x:c>
      <x:c r="L54" s="41" t="n">
        <x:f>L53-K53</x:f>
        <x:v>0</x:v>
      </x:c>
      <x:c r="M54" s="41" t="n">
        <x:f>M53-L53</x:f>
        <x:v>0</x:v>
      </x:c>
      <x:c r="N54" s="41" t="n">
        <x:f>N53-M53</x:f>
        <x:v>0</x:v>
      </x:c>
      <x:c r="O54" s="41" t="n">
        <x:f>O53-N53</x:f>
        <x:v>0</x:v>
      </x:c>
    </x:row>
    <x:row r="55" ht="20" customHeight="1">
      <x:c r="A55" s="4" t="str">
        <x:v>Purchases / variable cash obligation</x:v>
      </x:c>
      <x:c r="B55" s="4"/>
      <x:c r="C55" s="4"/>
      <x:c r="D55" s="41" t="n">
        <x:f>D41+D54</x:f>
        <x:v>94500</x:v>
      </x:c>
      <x:c r="E55" s="41" t="n">
        <x:f>E41+E54</x:f>
        <x:v>122850</x:v>
      </x:c>
      <x:c r="F55" s="41" t="n">
        <x:f>F41+F54</x:f>
        <x:v>151200</x:v>
      </x:c>
      <x:c r="G55" s="41" t="n">
        <x:f>G41+G54</x:f>
        <x:v>170100</x:v>
      </x:c>
      <x:c r="H55" s="41" t="n">
        <x:f>H41+H54</x:f>
        <x:v>179550</x:v>
      </x:c>
      <x:c r="I55" s="41" t="n">
        <x:f>I41+I54</x:f>
        <x:v>189000</x:v>
      </x:c>
      <x:c r="J55" s="41" t="n">
        <x:f>J41+J54</x:f>
        <x:v>189000</x:v>
      </x:c>
      <x:c r="K55" s="41" t="n">
        <x:f>K41+K54</x:f>
        <x:v>198450</x:v>
      </x:c>
      <x:c r="L55" s="41" t="n">
        <x:f>L41+L54</x:f>
        <x:v>198450</x:v>
      </x:c>
      <x:c r="M55" s="41" t="n">
        <x:f>M41+M54</x:f>
        <x:v>207900</x:v>
      </x:c>
      <x:c r="N55" s="41" t="n">
        <x:f>N41+N54</x:f>
        <x:v>207900</x:v>
      </x:c>
      <x:c r="O55" s="41" t="n">
        <x:f>O41+O54</x:f>
        <x:v>217350</x:v>
      </x:c>
    </x:row>
    <x:row r="56" ht="20" customHeight="1">
      <x:c r="A56" s="4" t="str">
        <x:v>Credit-eligible purchases</x:v>
      </x:c>
      <x:c r="B56" s="4"/>
      <x:c r="C56" s="4"/>
      <x:c r="D56" s="41" t="n">
        <x:f>D55*$B$14</x:f>
        <x:v>94500</x:v>
      </x:c>
      <x:c r="E56" s="41" t="n">
        <x:f>E55*$B$14</x:f>
        <x:v>122850</x:v>
      </x:c>
      <x:c r="F56" s="41" t="n">
        <x:f>F55*$B$14</x:f>
        <x:v>151200</x:v>
      </x:c>
      <x:c r="G56" s="41" t="n">
        <x:f>G55*$B$14</x:f>
        <x:v>170100</x:v>
      </x:c>
      <x:c r="H56" s="41" t="n">
        <x:f>H55*$B$14</x:f>
        <x:v>179550</x:v>
      </x:c>
      <x:c r="I56" s="41" t="n">
        <x:f>I55*$B$14</x:f>
        <x:v>189000</x:v>
      </x:c>
      <x:c r="J56" s="41" t="n">
        <x:f>J55*$B$14</x:f>
        <x:v>189000</x:v>
      </x:c>
      <x:c r="K56" s="41" t="n">
        <x:f>K55*$B$14</x:f>
        <x:v>198450</x:v>
      </x:c>
      <x:c r="L56" s="41" t="n">
        <x:f>L55*$B$14</x:f>
        <x:v>198450</x:v>
      </x:c>
      <x:c r="M56" s="41" t="n">
        <x:f>M55*$B$14</x:f>
        <x:v>207900</x:v>
      </x:c>
      <x:c r="N56" s="41" t="n">
        <x:f>N55*$B$14</x:f>
        <x:v>207900</x:v>
      </x:c>
      <x:c r="O56" s="41" t="n">
        <x:f>O55*$B$14</x:f>
        <x:v>217350</x:v>
      </x:c>
    </x:row>
    <x:row r="57" ht="20" customHeight="1">
      <x:c r="A57" s="4" t="str">
        <x:v>Cash paid for variable costs</x:v>
      </x:c>
      <x:c r="B57" s="4"/>
      <x:c r="C57" s="4"/>
      <x:c r="D57" s="41" t="n">
        <x:f>D55-D56+IF($B$21&lt;30,D56*(1-$B$21/30)+0*$B$21/30,IF($B$21&lt;60,0*(2-$B$21/30)+0*($B$21/30-1),IF($B$21&lt;=90,0*(3-$B$21/30)+0*($B$21/30-2),0)))</x:f>
        <x:v>47250</x:v>
      </x:c>
      <x:c r="E57" s="41" t="n">
        <x:f>E55-E56+IF($B$21&lt;30,E56*(1-$B$21/30)+D56*$B$21/30,IF($B$21&lt;60,D56*(2-$B$21/30)+0*($B$21/30-1),IF($B$21&lt;=90,0*(3-$B$21/30)+0*($B$21/30-2),0)))</x:f>
        <x:v>108675</x:v>
      </x:c>
      <x:c r="F57" s="41" t="n">
        <x:f>F55-F56+IF($B$21&lt;30,F56*(1-$B$21/30)+E56*$B$21/30,IF($B$21&lt;60,E56*(2-$B$21/30)+D56*($B$21/30-1),IF($B$21&lt;=90,D56*(3-$B$21/30)+0*($B$21/30-2),0)))</x:f>
        <x:v>137025</x:v>
      </x:c>
      <x:c r="G57" s="41" t="n">
        <x:f>G55-G56+IF($B$21&lt;30,G56*(1-$B$21/30)+F56*$B$21/30,IF($B$21&lt;60,F56*(2-$B$21/30)+E56*($B$21/30-1),IF($B$21&lt;=90,E56*(3-$B$21/30)+D56*($B$21/30-2),0)))</x:f>
        <x:v>160650</x:v>
      </x:c>
      <x:c r="H57" s="41" t="n">
        <x:f>H55-H56+IF($B$21&lt;30,H56*(1-$B$21/30)+G56*$B$21/30,IF($B$21&lt;60,G56*(2-$B$21/30)+F56*($B$21/30-1),IF($B$21&lt;=90,F56*(3-$B$21/30)+E56*($B$21/30-2),0)))</x:f>
        <x:v>174825</x:v>
      </x:c>
      <x:c r="I57" s="41" t="n">
        <x:f>I55-I56+IF($B$21&lt;30,I56*(1-$B$21/30)+H56*$B$21/30,IF($B$21&lt;60,H56*(2-$B$21/30)+G56*($B$21/30-1),IF($B$21&lt;=90,G56*(3-$B$21/30)+F56*($B$21/30-2),0)))</x:f>
        <x:v>184275</x:v>
      </x:c>
      <x:c r="J57" s="41" t="n">
        <x:f>J55-J56+IF($B$21&lt;30,J56*(1-$B$21/30)+I56*$B$21/30,IF($B$21&lt;60,I56*(2-$B$21/30)+H56*($B$21/30-1),IF($B$21&lt;=90,H56*(3-$B$21/30)+G56*($B$21/30-2),0)))</x:f>
        <x:v>189000</x:v>
      </x:c>
      <x:c r="K57" s="41" t="n">
        <x:f>K55-K56+IF($B$21&lt;30,K56*(1-$B$21/30)+J56*$B$21/30,IF($B$21&lt;60,J56*(2-$B$21/30)+I56*($B$21/30-1),IF($B$21&lt;=90,I56*(3-$B$21/30)+H56*($B$21/30-2),0)))</x:f>
        <x:v>193725</x:v>
      </x:c>
      <x:c r="L57" s="41" t="n">
        <x:f>L55-L56+IF($B$21&lt;30,L56*(1-$B$21/30)+K56*$B$21/30,IF($B$21&lt;60,K56*(2-$B$21/30)+J56*($B$21/30-1),IF($B$21&lt;=90,J56*(3-$B$21/30)+I56*($B$21/30-2),0)))</x:f>
        <x:v>198450</x:v>
      </x:c>
      <x:c r="M57" s="41" t="n">
        <x:f>M55-M56+IF($B$21&lt;30,M56*(1-$B$21/30)+L56*$B$21/30,IF($B$21&lt;60,L56*(2-$B$21/30)+K56*($B$21/30-1),IF($B$21&lt;=90,K56*(3-$B$21/30)+J56*($B$21/30-2),0)))</x:f>
        <x:v>203175</x:v>
      </x:c>
      <x:c r="N57" s="41" t="n">
        <x:f>N55-N56+IF($B$21&lt;30,N56*(1-$B$21/30)+M56*$B$21/30,IF($B$21&lt;60,M56*(2-$B$21/30)+L56*($B$21/30-1),IF($B$21&lt;=90,L56*(3-$B$21/30)+K56*($B$21/30-2),0)))</x:f>
        <x:v>207900</x:v>
      </x:c>
      <x:c r="O57" s="41" t="n">
        <x:f>O55-O56+IF($B$21&lt;30,O56*(1-$B$21/30)+N56*$B$21/30,IF($B$21&lt;60,N56*(2-$B$21/30)+M56*($B$21/30-1),IF($B$21&lt;=90,M56*(3-$B$21/30)+L56*($B$21/30-2),0)))</x:f>
        <x:v>212625</x:v>
      </x:c>
    </x:row>
    <x:row r="58" ht="20" customHeight="1">
      <x:c r="A58" s="4" t="str">
        <x:v>Closing trade payables</x:v>
      </x:c>
      <x:c r="B58" s="4"/>
      <x:c r="C58" s="4"/>
      <x:c r="D58" s="41" t="n">
        <x:f>0+D56-(IF($B$21&lt;30,D56*(1-$B$21/30)+0*$B$21/30,IF($B$21&lt;60,0*(2-$B$21/30)+0*($B$21/30-1),IF($B$21&lt;=90,0*(3-$B$21/30)+0*($B$21/30-2),0))))</x:f>
        <x:v>47250</x:v>
      </x:c>
      <x:c r="E58" s="41" t="n">
        <x:f>D58+E56-(IF($B$21&lt;30,E56*(1-$B$21/30)+D56*$B$21/30,IF($B$21&lt;60,D56*(2-$B$21/30)+0*($B$21/30-1),IF($B$21&lt;=90,0*(3-$B$21/30)+0*($B$21/30-2),0))))</x:f>
        <x:v>61425</x:v>
      </x:c>
      <x:c r="F58" s="41" t="n">
        <x:f>E58+F56-(IF($B$21&lt;30,F56*(1-$B$21/30)+E56*$B$21/30,IF($B$21&lt;60,E56*(2-$B$21/30)+D56*($B$21/30-1),IF($B$21&lt;=90,D56*(3-$B$21/30)+0*($B$21/30-2),0))))</x:f>
        <x:v>75600</x:v>
      </x:c>
      <x:c r="G58" s="41" t="n">
        <x:f>F58+G56-(IF($B$21&lt;30,G56*(1-$B$21/30)+F56*$B$21/30,IF($B$21&lt;60,F56*(2-$B$21/30)+E56*($B$21/30-1),IF($B$21&lt;=90,E56*(3-$B$21/30)+D56*($B$21/30-2),0))))</x:f>
        <x:v>85050</x:v>
      </x:c>
      <x:c r="H58" s="41" t="n">
        <x:f>G58+H56-(IF($B$21&lt;30,H56*(1-$B$21/30)+G56*$B$21/30,IF($B$21&lt;60,G56*(2-$B$21/30)+F56*($B$21/30-1),IF($B$21&lt;=90,F56*(3-$B$21/30)+E56*($B$21/30-2),0))))</x:f>
        <x:v>89775</x:v>
      </x:c>
      <x:c r="I58" s="41" t="n">
        <x:f>H58+I56-(IF($B$21&lt;30,I56*(1-$B$21/30)+H56*$B$21/30,IF($B$21&lt;60,H56*(2-$B$21/30)+G56*($B$21/30-1),IF($B$21&lt;=90,G56*(3-$B$21/30)+F56*($B$21/30-2),0))))</x:f>
        <x:v>94500</x:v>
      </x:c>
      <x:c r="J58" s="41" t="n">
        <x:f>I58+J56-(IF($B$21&lt;30,J56*(1-$B$21/30)+I56*$B$21/30,IF($B$21&lt;60,I56*(2-$B$21/30)+H56*($B$21/30-1),IF($B$21&lt;=90,H56*(3-$B$21/30)+G56*($B$21/30-2),0))))</x:f>
        <x:v>94500</x:v>
      </x:c>
      <x:c r="K58" s="41" t="n">
        <x:f>J58+K56-(IF($B$21&lt;30,K56*(1-$B$21/30)+J56*$B$21/30,IF($B$21&lt;60,J56*(2-$B$21/30)+I56*($B$21/30-1),IF($B$21&lt;=90,I56*(3-$B$21/30)+H56*($B$21/30-2),0))))</x:f>
        <x:v>99225</x:v>
      </x:c>
      <x:c r="L58" s="41" t="n">
        <x:f>K58+L56-(IF($B$21&lt;30,L56*(1-$B$21/30)+K56*$B$21/30,IF($B$21&lt;60,K56*(2-$B$21/30)+J56*($B$21/30-1),IF($B$21&lt;=90,J56*(3-$B$21/30)+I56*($B$21/30-2),0))))</x:f>
        <x:v>99225</x:v>
      </x:c>
      <x:c r="M58" s="41" t="n">
        <x:f>L58+M56-(IF($B$21&lt;30,M56*(1-$B$21/30)+L56*$B$21/30,IF($B$21&lt;60,L56*(2-$B$21/30)+K56*($B$21/30-1),IF($B$21&lt;=90,K56*(3-$B$21/30)+J56*($B$21/30-2),0))))</x:f>
        <x:v>103950</x:v>
      </x:c>
      <x:c r="N58" s="41" t="n">
        <x:f>M58+N56-(IF($B$21&lt;30,N56*(1-$B$21/30)+M56*$B$21/30,IF($B$21&lt;60,M56*(2-$B$21/30)+L56*($B$21/30-1),IF($B$21&lt;=90,L56*(3-$B$21/30)+K56*($B$21/30-2),0))))</x:f>
        <x:v>103950</x:v>
      </x:c>
      <x:c r="O58" s="41" t="n">
        <x:f>N58+O56-(IF($B$21&lt;30,O56*(1-$B$21/30)+N56*$B$21/30,IF($B$21&lt;60,N56*(2-$B$21/30)+M56*($B$21/30-1),IF($B$21&lt;=90,M56*(3-$B$21/30)+L56*($B$21/30-2),0))))</x:f>
        <x:v>108675</x:v>
      </x:c>
    </x:row>
    <x:row r="59" ht="20" customHeight="1">
      <x:c r="A59" s="60" t="str">
        <x:v>Operating cash before interest/tax</x:v>
      </x:c>
      <x:c r="B59" s="60"/>
      <x:c r="C59" s="60"/>
      <x:c r="D59" s="61" t="n">
        <x:f>D51-D57-D43</x:f>
        <x:v>-33050.000000000015</x:v>
      </x:c>
      <x:c r="E59" s="61" t="n">
        <x:f>E51-E57-E43</x:f>
        <x:v>-19415</x:v>
      </x:c>
      <x:c r="F59" s="61" t="n">
        <x:f>F51-F57-F43</x:f>
        <x:v>834.9999999999709</x:v>
      </x:c>
      <x:c r="G59" s="61" t="n">
        <x:f>G51-G57-G43</x:f>
        <x:v>13390</x:v>
      </x:c>
      <x:c r="H59" s="61" t="n">
        <x:f>H51-H57-H43</x:f>
        <x:v>19195</x:v>
      </x:c>
      <x:c r="I59" s="61" t="n">
        <x:f>I51-I57-I43</x:f>
        <x:v>25945</x:v>
      </x:c>
      <x:c r="J59" s="61" t="n">
        <x:f>J51-J57-J43</x:f>
        <x:v>25000</x:v>
      </x:c>
      <x:c r="K59" s="61" t="n">
        <x:f>K51-K57-K43</x:f>
        <x:v>32695</x:v>
      </x:c>
      <x:c r="L59" s="61" t="n">
        <x:f>L51-L57-L43</x:f>
        <x:v>31750</x:v>
      </x:c>
      <x:c r="M59" s="61" t="n">
        <x:f>M51-M57-M43</x:f>
        <x:v>39445</x:v>
      </x:c>
      <x:c r="N59" s="61" t="n">
        <x:f>N51-N57-N43</x:f>
        <x:v>38500</x:v>
      </x:c>
      <x:c r="O59" s="61" t="n">
        <x:f>O51-O57-O43</x:f>
        <x:v>46195</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-33050.000000000015</x:v>
      </x:c>
      <x:c r="E62" s="61" t="n">
        <x:f>E59-E47-E48-E60-E61</x:f>
        <x:v>-19415</x:v>
      </x:c>
      <x:c r="F62" s="61" t="n">
        <x:f>F59-F47-F48-F60-F61</x:f>
        <x:v>834.9999999999709</x:v>
      </x:c>
      <x:c r="G62" s="61" t="n">
        <x:f>G59-G47-G48-G60-G61</x:f>
        <x:v>13390</x:v>
      </x:c>
      <x:c r="H62" s="61" t="n">
        <x:f>H59-H47-H48-H60-H61</x:f>
        <x:v>19195</x:v>
      </x:c>
      <x:c r="I62" s="61" t="n">
        <x:f>I59-I47-I48-I60-I61</x:f>
        <x:v>25945</x:v>
      </x:c>
      <x:c r="J62" s="61" t="n">
        <x:f>J59-J47-J48-J60-J61</x:f>
        <x:v>25000</x:v>
      </x:c>
      <x:c r="K62" s="61" t="n">
        <x:f>K59-K47-K48-K60-K61</x:f>
        <x:v>32695</x:v>
      </x:c>
      <x:c r="L62" s="61" t="n">
        <x:f>L59-L47-L48-L60-L61</x:f>
        <x:v>31750</x:v>
      </x:c>
      <x:c r="M62" s="61" t="n">
        <x:f>M59-M47-M48-M60-M61</x:f>
        <x:v>39445</x:v>
      </x:c>
      <x:c r="N62" s="61" t="n">
        <x:f>N59-N47-N48-N60-N61</x:f>
        <x:v>38500</x:v>
      </x:c>
      <x:c r="O62" s="61" t="n">
        <x:f>O59-O47-O48-O60-O61</x:f>
        <x:v>46195</x:v>
      </x:c>
    </x:row>
    <x:row r="63" ht="20" customHeight="1">
      <x:c r="A63" s="4" t="str">
        <x:v>Opening cash</x:v>
      </x:c>
      <x:c r="B63" s="4"/>
      <x:c r="C63" s="4"/>
      <x:c r="D63" s="41" t="n">
        <x:f>$B$18</x:f>
        <x:v>550000</x:v>
      </x:c>
      <x:c r="E63" s="41" t="n">
        <x:f>D64</x:f>
        <x:v>516950</x:v>
      </x:c>
      <x:c r="F63" s="41" t="n">
        <x:f>E64</x:f>
        <x:v>497535</x:v>
      </x:c>
      <x:c r="G63" s="41" t="n">
        <x:f>F64</x:f>
        <x:v>498370</x:v>
      </x:c>
      <x:c r="H63" s="41" t="n">
        <x:f>G64</x:f>
        <x:v>511760</x:v>
      </x:c>
      <x:c r="I63" s="41" t="n">
        <x:f>H64</x:f>
        <x:v>530955</x:v>
      </x:c>
      <x:c r="J63" s="41" t="n">
        <x:f>I64</x:f>
        <x:v>556900</x:v>
      </x:c>
      <x:c r="K63" s="41" t="n">
        <x:f>J64</x:f>
        <x:v>581900</x:v>
      </x:c>
      <x:c r="L63" s="41" t="n">
        <x:f>K64</x:f>
        <x:v>614595</x:v>
      </x:c>
      <x:c r="M63" s="41" t="n">
        <x:f>L64</x:f>
        <x:v>646345</x:v>
      </x:c>
      <x:c r="N63" s="41" t="n">
        <x:f>M64</x:f>
        <x:v>685790</x:v>
      </x:c>
      <x:c r="O63" s="41" t="n">
        <x:f>N64</x:f>
        <x:v>724290</x:v>
      </x:c>
    </x:row>
    <x:row r="64" ht="20" customHeight="1">
      <x:c r="A64" s="60" t="str">
        <x:v>Closing cash</x:v>
      </x:c>
      <x:c r="B64" s="60"/>
      <x:c r="C64" s="60"/>
      <x:c r="D64" s="61" t="n">
        <x:f>D63+D62</x:f>
        <x:v>516950</x:v>
      </x:c>
      <x:c r="E64" s="61" t="n">
        <x:f>E63+E62</x:f>
        <x:v>497535</x:v>
      </x:c>
      <x:c r="F64" s="61" t="n">
        <x:f>F63+F62</x:f>
        <x:v>498370</x:v>
      </x:c>
      <x:c r="G64" s="61" t="n">
        <x:f>G63+G62</x:f>
        <x:v>511760</x:v>
      </x:c>
      <x:c r="H64" s="61" t="n">
        <x:f>H63+H62</x:f>
        <x:v>530955</x:v>
      </x:c>
      <x:c r="I64" s="61" t="n">
        <x:f>I63+I62</x:f>
        <x:v>556900</x:v>
      </x:c>
      <x:c r="J64" s="61" t="n">
        <x:f>J63+J62</x:f>
        <x:v>581900</x:v>
      </x:c>
      <x:c r="K64" s="61" t="n">
        <x:f>K63+K62</x:f>
        <x:v>614595</x:v>
      </x:c>
      <x:c r="L64" s="61" t="n">
        <x:f>L63+L62</x:f>
        <x:v>646345</x:v>
      </x:c>
      <x:c r="M64" s="61" t="n">
        <x:f>M63+M62</x:f>
        <x:v>685790</x:v>
      </x:c>
      <x:c r="N64" s="61" t="n">
        <x:f>N63+N62</x:f>
        <x:v>724290</x:v>
      </x:c>
      <x:c r="O64" s="61" t="n">
        <x:f>O63+O62</x:f>
        <x:v>770485</x:v>
      </x:c>
    </x:row>
    <x:row r="65" ht="20" customHeight="1">
      <x:c r="A65" s="60" t="str">
        <x:v>Additional funding if closing cash &lt; 0</x:v>
      </x:c>
      <x:c r="B65" s="60"/>
      <x:c r="C65" s="60"/>
      <x:c r="D65" s="61" t="n">
        <x:f>MAX(0,-D64)</x:f>
        <x:v>0</x:v>
      </x:c>
      <x:c r="E65" s="61" t="n">
        <x:f>MAX(0,-E64)</x:f>
        <x:v>0</x:v>
      </x:c>
      <x:c r="F65" s="61" t="n">
        <x:f>MAX(0,-F64)</x:f>
        <x:v>0</x:v>
      </x:c>
      <x:c r="G65" s="61" t="n">
        <x:f>MAX(0,-G64)</x:f>
        <x:v>0</x:v>
      </x:c>
      <x:c r="H65" s="61" t="n">
        <x:f>MAX(0,-H64)</x:f>
        <x:v>0</x:v>
      </x:c>
      <x:c r="I65" s="61" t="n">
        <x:f>MAX(0,-I64)</x:f>
        <x:v>0</x:v>
      </x:c>
      <x:c r="J65" s="61" t="n">
        <x:f>MAX(0,-J64)</x:f>
        <x:v>0</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OK</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OK</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OK</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OK</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OK</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OK</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3400000</x:v>
      </x:c>
      <x:c r="C71" s="4"/>
      <x:c r="D71" s="2"/>
      <x:c r="E71" s="2"/>
      <x:c r="F71" s="2"/>
      <x:c r="G71" s="2"/>
      <x:c r="H71" s="2"/>
      <x:c r="I71" s="2"/>
      <x:c r="J71" s="2"/>
      <x:c r="K71" s="2"/>
      <x:c r="L71" s="2"/>
      <x:c r="M71" s="2"/>
      <x:c r="N71" s="2"/>
      <x:c r="O71" s="2"/>
    </x:row>
    <x:row r="72" ht="28" customHeight="1">
      <x:c r="A72" s="4" t="str">
        <x:v>Equity funding at startup</x:v>
      </x:c>
      <x:c r="B72" s="66" t="n">
        <x:f>MAX(0,SUM(B15:B18)-B23)</x:f>
        <x:v>3400000</x:v>
      </x:c>
      <x:c r="C72" s="4"/>
      <x:c r="D72" s="2"/>
      <x:c r="E72" s="2"/>
      <x:c r="F72" s="2"/>
      <x:c r="G72" s="2"/>
      <x:c r="H72" s="2"/>
      <x:c r="I72" s="2"/>
      <x:c r="J72" s="2"/>
      <x:c r="K72" s="2"/>
      <x:c r="L72" s="2"/>
      <x:c r="M72" s="2"/>
      <x:c r="N72" s="2"/>
      <x:c r="O72" s="2"/>
    </x:row>
    <x:row r="73" ht="28" customHeight="1">
      <x:c r="A73" s="4" t="str">
        <x:v>Steady monthly unit contribution</x:v>
      </x:c>
      <x:c r="B73" s="66" t="n">
        <x:f>B9*B26-B10*B27</x:f>
        <x:v>7.5</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14667</x:v>
      </x:c>
      <x:c r="C74" s="4"/>
      <x:c r="D74" s="2"/>
      <x:c r="E74" s="2"/>
      <x:c r="F74" s="2"/>
      <x:c r="G74" s="2"/>
      <x:c r="H74" s="2"/>
      <x:c r="I74" s="2"/>
      <x:c r="J74" s="2"/>
      <x:c r="K74" s="2"/>
      <x:c r="L74" s="2"/>
      <x:c r="M74" s="2"/>
      <x:c r="N74" s="2"/>
      <x:c r="O74" s="2"/>
    </x:row>
    <x:row r="75" ht="28" customHeight="1">
      <x:c r="A75" s="4" t="str">
        <x:v>Year-one operating cash profit</x:v>
      </x:c>
      <x:c r="B75" s="66" t="n">
        <x:f>SUM(D44:O44)</x:f>
        <x:v>198750</x:v>
      </x:c>
      <x:c r="C75" s="4"/>
      <x:c r="D75" s="2"/>
      <x:c r="E75" s="2"/>
      <x:c r="F75" s="2"/>
      <x:c r="G75" s="2"/>
      <x:c r="H75" s="2"/>
      <x:c r="I75" s="2"/>
      <x:c r="J75" s="2"/>
      <x:c r="K75" s="2"/>
      <x:c r="L75" s="2"/>
      <x:c r="M75" s="2"/>
      <x:c r="N75" s="2"/>
      <x:c r="O75" s="2"/>
    </x:row>
    <x:row r="76" ht="28" customHeight="1">
      <x:c r="A76" s="4" t="str">
        <x:v>Year-one minimum closing cash</x:v>
      </x:c>
      <x:c r="B76" s="66" t="n">
        <x:f>MIN(D64:O64)</x:f>
        <x:v>497535</x:v>
      </x:c>
      <x:c r="C76" s="4"/>
      <x:c r="D76" s="2"/>
      <x:c r="E76" s="2"/>
      <x:c r="F76" s="2"/>
      <x:c r="G76" s="2"/>
      <x:c r="H76" s="2"/>
      <x:c r="I76" s="2"/>
      <x:c r="J76" s="2"/>
      <x:c r="K76" s="2"/>
      <x:c r="L76" s="2"/>
      <x:c r="M76" s="2"/>
      <x:c r="N76" s="2"/>
      <x:c r="O76" s="2"/>
    </x:row>
    <x:row r="77" ht="28" customHeight="1">
      <x:c r="A77" s="4" t="str">
        <x:v>Additional opening liquidity needed</x:v>
      </x:c>
      <x:c r="B77" s="66" t="n">
        <x:f>MAX(0,-MIN(D64:O64))</x:f>
        <x:v>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ILLUSTRATIVE</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2" priority="1">
      <x:formula>D64&lt;0</x:formula>
    </x:cfRule>
  </x:conditionalFormatting>
  <x:conditionalFormatting sqref="D66:O66">
    <x:cfRule type="expression" dxfId="42" priority="2">
      <x:formula>D66&lt;&gt;"OK"</x:formula>
    </x:cfRule>
  </x:conditionalFormatting>
  <x:pageMargins left="0.7" right="0.7" top="0.75" bottom="0.75" header="0.3" footer="0.3"/>
  <x:drawing xmlns:r="http://schemas.openxmlformats.org/officeDocument/2006/relationships" r:id="Ra02163a135f94803"/>
  <x:legacyDrawing xmlns:r="http://schemas.openxmlformats.org/officeDocument/2006/relationships" r:id="R1c8c6d2a1d714e5f"/>
</x:worksheet>
</file>

<file path=xl/worksheets/sheet7.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PCJ-21 | Home Healthcare &amp; Elder-care Services</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ILLUSTRATIVE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455000</x:v>
      </x:c>
      <x:c r="G7" s="2"/>
      <x:c r="H7" s="2"/>
      <x:c r="I7" s="2"/>
      <x:c r="J7" s="2"/>
      <x:c r="K7" s="2"/>
      <x:c r="L7" s="2"/>
      <x:c r="M7" s="2"/>
      <x:c r="N7" s="2"/>
      <x:c r="O7" s="2"/>
    </x:row>
    <x:row r="8" ht="38" customHeight="1">
      <x:c r="A8" s="90" t="str">
        <x:v>Base monthly units</x:v>
      </x:c>
      <x:c r="B8" s="106" t="n">
        <x:v>300</x:v>
      </x:c>
      <x:c r="C8" s="90" t="str">
        <x:v>Billable output, not leads or maximum capacity.</x:v>
      </x:c>
      <x:c r="D8" s="2"/>
      <x:c r="E8" s="2" t="n">
        <x:v>2</x:v>
      </x:c>
      <x:c r="F8" s="40" t="n">
        <x:f>E64</x:f>
        <x:v>402500</x:v>
      </x:c>
      <x:c r="G8" s="2"/>
      <x:c r="H8" s="2"/>
      <x:c r="I8" s="2"/>
      <x:c r="J8" s="2"/>
      <x:c r="K8" s="2"/>
      <x:c r="L8" s="2"/>
      <x:c r="M8" s="2"/>
      <x:c r="N8" s="2"/>
      <x:c r="O8" s="2"/>
    </x:row>
    <x:row r="9" ht="38" customHeight="1">
      <x:c r="A9" s="90" t="str">
        <x:v>Net realised price / unit (INR)</x:v>
      </x:c>
      <x:c r="B9" s="106" t="n">
        <x:v>2200</x:v>
      </x:c>
      <x:c r="C9" s="90" t="str">
        <x:v>Excludes GST; net of commercial reductions.</x:v>
      </x:c>
      <x:c r="D9" s="2"/>
      <x:c r="E9" s="2" t="n">
        <x:v>3</x:v>
      </x:c>
      <x:c r="F9" s="40" t="n">
        <x:f>F64</x:f>
        <x:v>377000</x:v>
      </x:c>
      <x:c r="G9" s="2"/>
      <x:c r="H9" s="2"/>
      <x:c r="I9" s="2"/>
      <x:c r="J9" s="2"/>
      <x:c r="K9" s="2"/>
      <x:c r="L9" s="2"/>
      <x:c r="M9" s="2"/>
      <x:c r="N9" s="2"/>
      <x:c r="O9" s="2"/>
    </x:row>
    <x:row r="10" ht="38" customHeight="1">
      <x:c r="A10" s="90" t="str">
        <x:v>Variable cash cost / unit (INR)</x:v>
      </x:c>
      <x:c r="B10" s="106" t="n">
        <x:v>1600</x:v>
      </x:c>
      <x:c r="C10" s="90" t="str">
        <x:v>Include expected direct rework/returns where relevant.</x:v>
      </x:c>
      <x:c r="D10" s="2"/>
      <x:c r="E10" s="2" t="n">
        <x:v>4</x:v>
      </x:c>
      <x:c r="F10" s="40" t="n">
        <x:f>G64</x:f>
        <x:v>386000</x:v>
      </x:c>
      <x:c r="G10" s="2"/>
      <x:c r="H10" s="2"/>
      <x:c r="I10" s="2"/>
      <x:c r="J10" s="2"/>
      <x:c r="K10" s="2"/>
      <x:c r="L10" s="2"/>
      <x:c r="M10" s="2"/>
      <x:c r="N10" s="2"/>
      <x:c r="O10" s="2"/>
    </x:row>
    <x:row r="11" ht="38" customHeight="1">
      <x:c r="A11" s="90" t="str">
        <x:v>Fixed monthly cash cost (INR)</x:v>
      </x:c>
      <x:c r="B11" s="106" t="n">
        <x:v>120000</x:v>
      </x:c>
      <x:c r="C11" s="90" t="str">
        <x:v>Include supervision and realistic owner-replacement cost.</x:v>
      </x:c>
      <x:c r="D11" s="2"/>
      <x:c r="E11" s="2" t="n">
        <x:v>5</x:v>
      </x:c>
      <x:c r="F11" s="40" t="n">
        <x:f>H64</x:f>
        <x:v>420500</x:v>
      </x:c>
      <x:c r="G11" s="2"/>
      <x:c r="H11" s="2"/>
      <x:c r="I11" s="2"/>
      <x:c r="J11" s="2"/>
      <x:c r="K11" s="2"/>
      <x:c r="L11" s="2"/>
      <x:c r="M11" s="2"/>
      <x:c r="N11" s="2"/>
      <x:c r="O11" s="2"/>
    </x:row>
    <x:row r="12" ht="38" customHeight="1">
      <x:c r="A12" s="90" t="str">
        <x:v>Safe / saleable monthly capacity</x:v>
      </x:c>
      <x:c r="B12" s="106" t="n">
        <x:v>600</x:v>
      </x:c>
      <x:c r="C12" s="90" t="str">
        <x:v>Planning input; does not certify safe technical capacity.</x:v>
      </x:c>
      <x:c r="D12" s="2"/>
      <x:c r="E12" s="2" t="n">
        <x:v>6</x:v>
      </x:c>
      <x:c r="F12" s="40" t="n">
        <x:f>I64</x:f>
        <x:v>464000</x:v>
      </x:c>
      <x:c r="G12" s="2"/>
      <x:c r="H12" s="2"/>
      <x:c r="I12" s="2"/>
      <x:c r="J12" s="2"/>
      <x:c r="K12" s="2"/>
      <x:c r="L12" s="2"/>
      <x:c r="M12" s="2"/>
      <x:c r="N12" s="2"/>
      <x:c r="O12" s="2"/>
    </x:row>
    <x:row r="13" ht="38" customHeight="1">
      <x:c r="A13" s="90" t="str">
        <x:v>Inventory-eligible share of variable cost</x:v>
      </x:c>
      <x:c r="B13" s="107" t="n">
        <x:v>0</x:v>
      </x:c>
      <x:c r="C13" s="90" t="str">
        <x:v>Only this share drives modelled inventory.</x:v>
      </x:c>
      <x:c r="D13" s="2"/>
      <x:c r="E13" s="2" t="n">
        <x:v>7</x:v>
      </x:c>
      <x:c r="F13" s="40" t="n">
        <x:f>J64</x:f>
        <x:v>524000</x:v>
      </x:c>
      <x:c r="G13" s="2"/>
      <x:c r="H13" s="2"/>
      <x:c r="I13" s="2"/>
      <x:c r="J13" s="2"/>
      <x:c r="K13" s="2"/>
      <x:c r="L13" s="2"/>
      <x:c r="M13" s="2"/>
      <x:c r="N13" s="2"/>
      <x:c r="O13" s="2"/>
    </x:row>
    <x:row r="14" ht="38" customHeight="1">
      <x:c r="A14" s="90" t="str">
        <x:v>Supplier-credit share of purchases</x:v>
      </x:c>
      <x:c r="B14" s="107" t="n">
        <x:v>0</x:v>
      </x:c>
      <x:c r="C14" s="90" t="str">
        <x:v>Other costs are paid currently; do not defer payroll unlawfully.</x:v>
      </x:c>
      <x:c r="D14" s="2"/>
      <x:c r="E14" s="2" t="n">
        <x:v>8</x:v>
      </x:c>
      <x:c r="F14" s="40" t="n">
        <x:f>K64</x:f>
        <x:v>576500</x:v>
      </x:c>
      <x:c r="G14" s="2"/>
      <x:c r="H14" s="2"/>
      <x:c r="I14" s="2"/>
      <x:c r="J14" s="2"/>
      <x:c r="K14" s="2"/>
      <x:c r="L14" s="2"/>
      <x:c r="M14" s="2"/>
      <x:c r="N14" s="2"/>
      <x:c r="O14" s="2"/>
    </x:row>
    <x:row r="15" ht="38" customHeight="1">
      <x:c r="A15" s="90" t="str">
        <x:v>Initial installed assets (INR)</x:v>
      </x:c>
      <x:c r="B15" s="106" t="n">
        <x:v>250000</x:v>
      </x:c>
      <x:c r="C15" s="90" t="str">
        <x:v>Initial capex; further capex has a separate monthly row.</x:v>
      </x:c>
      <x:c r="D15" s="2"/>
      <x:c r="E15" s="2" t="n">
        <x:v>9</x:v>
      </x:c>
      <x:c r="F15" s="40" t="n">
        <x:f>L64</x:f>
        <x:v>645500</x:v>
      </x:c>
      <x:c r="G15" s="2"/>
      <x:c r="H15" s="2"/>
      <x:c r="I15" s="2"/>
      <x:c r="J15" s="2"/>
      <x:c r="K15" s="2"/>
      <x:c r="L15" s="2"/>
      <x:c r="M15" s="2"/>
      <x:c r="N15" s="2"/>
      <x:c r="O15" s="2"/>
    </x:row>
    <x:row r="16" ht="38" customHeight="1">
      <x:c r="A16" s="90" t="str">
        <x:v>Refundable startup deposits (INR)</x:v>
      </x:c>
      <x:c r="B16" s="106" t="n">
        <x:v>80000</x:v>
      </x:c>
      <x:c r="C16" s="90" t="str">
        <x:v>Cash funding, not immediate operating expense.</x:v>
      </x:c>
      <x:c r="D16" s="2"/>
      <x:c r="E16" s="2" t="n">
        <x:v>10</x:v>
      </x:c>
      <x:c r="F16" s="40" t="n">
        <x:f>M64</x:f>
        <x:v>707000</x:v>
      </x:c>
      <x:c r="G16" s="2"/>
      <x:c r="H16" s="2"/>
      <x:c r="I16" s="2"/>
      <x:c r="J16" s="2"/>
      <x:c r="K16" s="2"/>
      <x:c r="L16" s="2"/>
      <x:c r="M16" s="2"/>
      <x:c r="N16" s="2"/>
      <x:c r="O16" s="2"/>
    </x:row>
    <x:row r="17" ht="38" customHeight="1">
      <x:c r="A17" s="90" t="str">
        <x:v>Pre-opening expense (INR)</x:v>
      </x:c>
      <x:c r="B17" s="106" t="n">
        <x:v>100000</x:v>
      </x:c>
      <x:c r="C17" s="90" t="str">
        <x:v>Before month 1; excluded from forecast EBITDA.</x:v>
      </x:c>
      <x:c r="D17" s="2"/>
      <x:c r="E17" s="2" t="n">
        <x:v>11</x:v>
      </x:c>
      <x:c r="F17" s="40" t="n">
        <x:f>N64</x:f>
        <x:v>785000</x:v>
      </x:c>
      <x:c r="G17" s="2"/>
      <x:c r="H17" s="2"/>
      <x:c r="I17" s="2"/>
      <x:c r="J17" s="2"/>
      <x:c r="K17" s="2"/>
      <x:c r="L17" s="2"/>
      <x:c r="M17" s="2"/>
      <x:c r="N17" s="2"/>
      <x:c r="O17" s="2"/>
    </x:row>
    <x:row r="18" ht="38" customHeight="1">
      <x:c r="A18" s="90" t="str">
        <x:v>Opening cash reserve (INR)</x:v>
      </x:c>
      <x:c r="B18" s="106" t="n">
        <x:v>650000</x:v>
      </x:c>
      <x:c r="C18" s="90" t="str">
        <x:v>May be insufficient: review minimum closing cash.</x:v>
      </x:c>
      <x:c r="D18" s="2"/>
      <x:c r="E18" s="2" t="n">
        <x:v>12</x:v>
      </x:c>
      <x:c r="F18" s="40" t="n">
        <x:f>O64</x:f>
        <x:v>855500</x:v>
      </x:c>
      <x:c r="G18" s="2"/>
      <x:c r="H18" s="2"/>
      <x:c r="I18" s="2"/>
      <x:c r="J18" s="2"/>
      <x:c r="K18" s="2"/>
      <x:c r="L18" s="2"/>
      <x:c r="M18" s="2"/>
      <x:c r="N18" s="2"/>
      <x:c r="O18" s="2"/>
    </x:row>
    <x:row r="19" ht="38" customHeight="1">
      <x:c r="A19" s="90" t="str">
        <x:v>Collection lag (days; 0–90)</x:v>
      </x:c>
      <x:c r="B19" s="108" t="n">
        <x:v>15</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0</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7</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3</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billed care shifts.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150</x:v>
      </x:c>
      <x:c r="E36" s="41" t="n">
        <x:f>ROUND($B$8*E35*$B$25,0)</x:f>
        <x:v>195</x:v>
      </x:c>
      <x:c r="F36" s="41" t="n">
        <x:f>ROUND($B$8*F35*$B$25,0)</x:f>
        <x:v>240</x:v>
      </x:c>
      <x:c r="G36" s="41" t="n">
        <x:f>ROUND($B$8*G35*$B$25,0)</x:f>
        <x:v>270</x:v>
      </x:c>
      <x:c r="H36" s="41" t="n">
        <x:f>ROUND($B$8*H35*$B$25,0)</x:f>
        <x:v>285</x:v>
      </x:c>
      <x:c r="I36" s="41" t="n">
        <x:f>ROUND($B$8*I35*$B$25,0)</x:f>
        <x:v>300</x:v>
      </x:c>
      <x:c r="J36" s="41" t="n">
        <x:f>ROUND($B$8*J35*$B$25,0)</x:f>
        <x:v>300</x:v>
      </x:c>
      <x:c r="K36" s="41" t="n">
        <x:f>ROUND($B$8*K35*$B$25,0)</x:f>
        <x:v>315</x:v>
      </x:c>
      <x:c r="L36" s="41" t="n">
        <x:f>ROUND($B$8*L35*$B$25,0)</x:f>
        <x:v>315</x:v>
      </x:c>
      <x:c r="M36" s="41" t="n">
        <x:f>ROUND($B$8*M35*$B$25,0)</x:f>
        <x:v>330</x:v>
      </x:c>
      <x:c r="N36" s="41" t="n">
        <x:f>ROUND($B$8*N35*$B$25,0)</x:f>
        <x:v>330</x:v>
      </x:c>
      <x:c r="O36" s="41" t="n">
        <x:f>ROUND($B$8*O35*$B$25,0)</x:f>
        <x:v>345</x:v>
      </x:c>
    </x:row>
    <x:row r="37" ht="20" customHeight="1">
      <x:c r="A37" s="4" t="str">
        <x:v>Safe / saleable capacity</x:v>
      </x:c>
      <x:c r="B37" s="4"/>
      <x:c r="C37" s="4"/>
      <x:c r="D37" s="41" t="n">
        <x:f>$B$12</x:f>
        <x:v>600</x:v>
      </x:c>
      <x:c r="E37" s="41" t="n">
        <x:f>$B$12</x:f>
        <x:v>600</x:v>
      </x:c>
      <x:c r="F37" s="41" t="n">
        <x:f>$B$12</x:f>
        <x:v>600</x:v>
      </x:c>
      <x:c r="G37" s="41" t="n">
        <x:f>$B$12</x:f>
        <x:v>600</x:v>
      </x:c>
      <x:c r="H37" s="41" t="n">
        <x:f>$B$12</x:f>
        <x:v>600</x:v>
      </x:c>
      <x:c r="I37" s="41" t="n">
        <x:f>$B$12</x:f>
        <x:v>600</x:v>
      </x:c>
      <x:c r="J37" s="41" t="n">
        <x:f>$B$12</x:f>
        <x:v>600</x:v>
      </x:c>
      <x:c r="K37" s="41" t="n">
        <x:f>$B$12</x:f>
        <x:v>600</x:v>
      </x:c>
      <x:c r="L37" s="41" t="n">
        <x:f>$B$12</x:f>
        <x:v>600</x:v>
      </x:c>
      <x:c r="M37" s="41" t="n">
        <x:f>$B$12</x:f>
        <x:v>600</x:v>
      </x:c>
      <x:c r="N37" s="41" t="n">
        <x:f>$B$12</x:f>
        <x:v>600</x:v>
      </x:c>
      <x:c r="O37" s="41" t="n">
        <x:f>$B$12</x:f>
        <x:v>600</x:v>
      </x:c>
    </x:row>
    <x:row r="38" ht="20" customHeight="1">
      <x:c r="A38" s="4" t="str">
        <x:v>Capacity utilisation</x:v>
      </x:c>
      <x:c r="B38" s="4"/>
      <x:c r="C38" s="4"/>
      <x:c r="D38" s="46" t="n">
        <x:f>IF(D37&gt;0,D36/D37,0)</x:f>
        <x:v>0.25</x:v>
      </x:c>
      <x:c r="E38" s="46" t="n">
        <x:f>IF(E37&gt;0,E36/E37,0)</x:f>
        <x:v>0.325</x:v>
      </x:c>
      <x:c r="F38" s="46" t="n">
        <x:f>IF(F37&gt;0,F36/F37,0)</x:f>
        <x:v>0.4</x:v>
      </x:c>
      <x:c r="G38" s="46" t="n">
        <x:f>IF(G37&gt;0,G36/G37,0)</x:f>
        <x:v>0.45</x:v>
      </x:c>
      <x:c r="H38" s="46" t="n">
        <x:f>IF(H37&gt;0,H36/H37,0)</x:f>
        <x:v>0.475</x:v>
      </x:c>
      <x:c r="I38" s="46" t="n">
        <x:f>IF(I37&gt;0,I36/I37,0)</x:f>
        <x:v>0.5</x:v>
      </x:c>
      <x:c r="J38" s="46" t="n">
        <x:f>IF(J37&gt;0,J36/J37,0)</x:f>
        <x:v>0.5</x:v>
      </x:c>
      <x:c r="K38" s="46" t="n">
        <x:f>IF(K37&gt;0,K36/K37,0)</x:f>
        <x:v>0.525</x:v>
      </x:c>
      <x:c r="L38" s="46" t="n">
        <x:f>IF(L37&gt;0,L36/L37,0)</x:f>
        <x:v>0.525</x:v>
      </x:c>
      <x:c r="M38" s="46" t="n">
        <x:f>IF(M37&gt;0,M36/M37,0)</x:f>
        <x:v>0.55</x:v>
      </x:c>
      <x:c r="N38" s="46" t="n">
        <x:f>IF(N37&gt;0,N36/N37,0)</x:f>
        <x:v>0.55</x:v>
      </x:c>
      <x:c r="O38" s="46" t="n">
        <x:f>IF(O37&gt;0,O36/O37,0)</x:f>
        <x:v>0.575</x:v>
      </x:c>
    </x:row>
    <x:row r="39" ht="20" customHeight="1">
      <x:c r="A39" s="4" t="str">
        <x:v>Net realised unit price</x:v>
      </x:c>
      <x:c r="B39" s="4"/>
      <x:c r="C39" s="4"/>
      <x:c r="D39" s="41" t="n">
        <x:f>$B$9*$B$26</x:f>
        <x:v>2200</x:v>
      </x:c>
      <x:c r="E39" s="41" t="n">
        <x:f>$B$9*$B$26</x:f>
        <x:v>2200</x:v>
      </x:c>
      <x:c r="F39" s="41" t="n">
        <x:f>$B$9*$B$26</x:f>
        <x:v>2200</x:v>
      </x:c>
      <x:c r="G39" s="41" t="n">
        <x:f>$B$9*$B$26</x:f>
        <x:v>2200</x:v>
      </x:c>
      <x:c r="H39" s="41" t="n">
        <x:f>$B$9*$B$26</x:f>
        <x:v>2200</x:v>
      </x:c>
      <x:c r="I39" s="41" t="n">
        <x:f>$B$9*$B$26</x:f>
        <x:v>2200</x:v>
      </x:c>
      <x:c r="J39" s="41" t="n">
        <x:f>$B$9*$B$26</x:f>
        <x:v>2200</x:v>
      </x:c>
      <x:c r="K39" s="41" t="n">
        <x:f>$B$9*$B$26</x:f>
        <x:v>2200</x:v>
      </x:c>
      <x:c r="L39" s="41" t="n">
        <x:f>$B$9*$B$26</x:f>
        <x:v>2200</x:v>
      </x:c>
      <x:c r="M39" s="41" t="n">
        <x:f>$B$9*$B$26</x:f>
        <x:v>2200</x:v>
      </x:c>
      <x:c r="N39" s="41" t="n">
        <x:f>$B$9*$B$26</x:f>
        <x:v>2200</x:v>
      </x:c>
      <x:c r="O39" s="41" t="n">
        <x:f>$B$9*$B$26</x:f>
        <x:v>2200</x:v>
      </x:c>
    </x:row>
    <x:row r="40" ht="20" customHeight="1">
      <x:c r="A40" s="60" t="str">
        <x:v>Revenue, excluding GST</x:v>
      </x:c>
      <x:c r="B40" s="60"/>
      <x:c r="C40" s="60"/>
      <x:c r="D40" s="61" t="n">
        <x:f>D36*D39</x:f>
        <x:v>330000</x:v>
      </x:c>
      <x:c r="E40" s="61" t="n">
        <x:f>E36*E39</x:f>
        <x:v>429000</x:v>
      </x:c>
      <x:c r="F40" s="61" t="n">
        <x:f>F36*F39</x:f>
        <x:v>528000</x:v>
      </x:c>
      <x:c r="G40" s="61" t="n">
        <x:f>G36*G39</x:f>
        <x:v>594000</x:v>
      </x:c>
      <x:c r="H40" s="61" t="n">
        <x:f>H36*H39</x:f>
        <x:v>627000</x:v>
      </x:c>
      <x:c r="I40" s="61" t="n">
        <x:f>I36*I39</x:f>
        <x:v>660000</x:v>
      </x:c>
      <x:c r="J40" s="61" t="n">
        <x:f>J36*J39</x:f>
        <x:v>660000</x:v>
      </x:c>
      <x:c r="K40" s="61" t="n">
        <x:f>K36*K39</x:f>
        <x:v>693000</x:v>
      </x:c>
      <x:c r="L40" s="61" t="n">
        <x:f>L36*L39</x:f>
        <x:v>693000</x:v>
      </x:c>
      <x:c r="M40" s="61" t="n">
        <x:f>M36*M39</x:f>
        <x:v>726000</x:v>
      </x:c>
      <x:c r="N40" s="61" t="n">
        <x:f>N36*N39</x:f>
        <x:v>726000</x:v>
      </x:c>
      <x:c r="O40" s="61" t="n">
        <x:f>O36*O39</x:f>
        <x:v>759000</x:v>
      </x:c>
    </x:row>
    <x:row r="41" ht="20" customHeight="1">
      <x:c r="A41" s="4" t="str">
        <x:v>Variable cash cost</x:v>
      </x:c>
      <x:c r="B41" s="4"/>
      <x:c r="C41" s="4"/>
      <x:c r="D41" s="41" t="n">
        <x:f>D36*$B$10*$B$27</x:f>
        <x:v>240000</x:v>
      </x:c>
      <x:c r="E41" s="41" t="n">
        <x:f>E36*$B$10*$B$27</x:f>
        <x:v>312000</x:v>
      </x:c>
      <x:c r="F41" s="41" t="n">
        <x:f>F36*$B$10*$B$27</x:f>
        <x:v>384000</x:v>
      </x:c>
      <x:c r="G41" s="41" t="n">
        <x:f>G36*$B$10*$B$27</x:f>
        <x:v>432000</x:v>
      </x:c>
      <x:c r="H41" s="41" t="n">
        <x:f>H36*$B$10*$B$27</x:f>
        <x:v>456000</x:v>
      </x:c>
      <x:c r="I41" s="41" t="n">
        <x:f>I36*$B$10*$B$27</x:f>
        <x:v>480000</x:v>
      </x:c>
      <x:c r="J41" s="41" t="n">
        <x:f>J36*$B$10*$B$27</x:f>
        <x:v>480000</x:v>
      </x:c>
      <x:c r="K41" s="41" t="n">
        <x:f>K36*$B$10*$B$27</x:f>
        <x:v>504000</x:v>
      </x:c>
      <x:c r="L41" s="41" t="n">
        <x:f>L36*$B$10*$B$27</x:f>
        <x:v>504000</x:v>
      </x:c>
      <x:c r="M41" s="41" t="n">
        <x:f>M36*$B$10*$B$27</x:f>
        <x:v>528000</x:v>
      </x:c>
      <x:c r="N41" s="41" t="n">
        <x:f>N36*$B$10*$B$27</x:f>
        <x:v>528000</x:v>
      </x:c>
      <x:c r="O41" s="41" t="n">
        <x:f>O36*$B$10*$B$27</x:f>
        <x:v>552000</x:v>
      </x:c>
    </x:row>
    <x:row r="42" ht="20" customHeight="1">
      <x:c r="A42" s="4" t="str">
        <x:v>Contribution</x:v>
      </x:c>
      <x:c r="B42" s="4"/>
      <x:c r="C42" s="4"/>
      <x:c r="D42" s="41" t="n">
        <x:f>D40-D41</x:f>
        <x:v>90000</x:v>
      </x:c>
      <x:c r="E42" s="41" t="n">
        <x:f>E40-E41</x:f>
        <x:v>117000</x:v>
      </x:c>
      <x:c r="F42" s="41" t="n">
        <x:f>F40-F41</x:f>
        <x:v>144000</x:v>
      </x:c>
      <x:c r="G42" s="41" t="n">
        <x:f>G40-G41</x:f>
        <x:v>162000</x:v>
      </x:c>
      <x:c r="H42" s="41" t="n">
        <x:f>H40-H41</x:f>
        <x:v>171000</x:v>
      </x:c>
      <x:c r="I42" s="41" t="n">
        <x:f>I40-I41</x:f>
        <x:v>180000</x:v>
      </x:c>
      <x:c r="J42" s="41" t="n">
        <x:f>J40-J41</x:f>
        <x:v>180000</x:v>
      </x:c>
      <x:c r="K42" s="41" t="n">
        <x:f>K40-K41</x:f>
        <x:v>189000</x:v>
      </x:c>
      <x:c r="L42" s="41" t="n">
        <x:f>L40-L41</x:f>
        <x:v>189000</x:v>
      </x:c>
      <x:c r="M42" s="41" t="n">
        <x:f>M40-M41</x:f>
        <x:v>198000</x:v>
      </x:c>
      <x:c r="N42" s="41" t="n">
        <x:f>N40-N41</x:f>
        <x:v>198000</x:v>
      </x:c>
      <x:c r="O42" s="41" t="n">
        <x:f>O40-O41</x:f>
        <x:v>207000</x:v>
      </x:c>
    </x:row>
    <x:row r="43" ht="20" customHeight="1">
      <x:c r="A43" s="4" t="str">
        <x:v>Fixed cash cost</x:v>
      </x:c>
      <x:c r="B43" s="4"/>
      <x:c r="C43" s="4"/>
      <x:c r="D43" s="41" t="n">
        <x:f>$B$11*$B$28</x:f>
        <x:v>120000</x:v>
      </x:c>
      <x:c r="E43" s="41" t="n">
        <x:f>$B$11*$B$28</x:f>
        <x:v>120000</x:v>
      </x:c>
      <x:c r="F43" s="41" t="n">
        <x:f>$B$11*$B$28</x:f>
        <x:v>120000</x:v>
      </x:c>
      <x:c r="G43" s="41" t="n">
        <x:f>$B$11*$B$28</x:f>
        <x:v>120000</x:v>
      </x:c>
      <x:c r="H43" s="41" t="n">
        <x:f>$B$11*$B$28</x:f>
        <x:v>120000</x:v>
      </x:c>
      <x:c r="I43" s="41" t="n">
        <x:f>$B$11*$B$28</x:f>
        <x:v>120000</x:v>
      </x:c>
      <x:c r="J43" s="41" t="n">
        <x:f>$B$11*$B$28</x:f>
        <x:v>120000</x:v>
      </x:c>
      <x:c r="K43" s="41" t="n">
        <x:f>$B$11*$B$28</x:f>
        <x:v>120000</x:v>
      </x:c>
      <x:c r="L43" s="41" t="n">
        <x:f>$B$11*$B$28</x:f>
        <x:v>120000</x:v>
      </x:c>
      <x:c r="M43" s="41" t="n">
        <x:f>$B$11*$B$28</x:f>
        <x:v>120000</x:v>
      </x:c>
      <x:c r="N43" s="41" t="n">
        <x:f>$B$11*$B$28</x:f>
        <x:v>120000</x:v>
      </x:c>
      <x:c r="O43" s="41" t="n">
        <x:f>$B$11*$B$28</x:f>
        <x:v>120000</x:v>
      </x:c>
    </x:row>
    <x:row r="44" ht="20" customHeight="1">
      <x:c r="A44" s="60" t="str">
        <x:v>Operating cash profit (EBITDA)</x:v>
      </x:c>
      <x:c r="B44" s="60"/>
      <x:c r="C44" s="60"/>
      <x:c r="D44" s="61" t="n">
        <x:f>D42-D43</x:f>
        <x:v>-30000</x:v>
      </x:c>
      <x:c r="E44" s="61" t="n">
        <x:f>E42-E43</x:f>
        <x:v>-3000</x:v>
      </x:c>
      <x:c r="F44" s="61" t="n">
        <x:f>F42-F43</x:f>
        <x:v>24000</x:v>
      </x:c>
      <x:c r="G44" s="61" t="n">
        <x:f>G42-G43</x:f>
        <x:v>42000</x:v>
      </x:c>
      <x:c r="H44" s="61" t="n">
        <x:f>H42-H43</x:f>
        <x:v>51000</x:v>
      </x:c>
      <x:c r="I44" s="61" t="n">
        <x:f>I42-I43</x:f>
        <x:v>60000</x:v>
      </x:c>
      <x:c r="J44" s="61" t="n">
        <x:f>J42-J43</x:f>
        <x:v>60000</x:v>
      </x:c>
      <x:c r="K44" s="61" t="n">
        <x:f>K42-K43</x:f>
        <x:v>69000</x:v>
      </x:c>
      <x:c r="L44" s="61" t="n">
        <x:f>L42-L43</x:f>
        <x:v>69000</x:v>
      </x:c>
      <x:c r="M44" s="61" t="n">
        <x:f>M42-M43</x:f>
        <x:v>78000</x:v>
      </x:c>
      <x:c r="N44" s="61" t="n">
        <x:f>N42-N43</x:f>
        <x:v>78000</x:v>
      </x:c>
      <x:c r="O44" s="61" t="n">
        <x:f>O42-O43</x:f>
        <x:v>87000</x:v>
      </x:c>
    </x:row>
    <x:row r="45" ht="20" customHeight="1">
      <x:c r="A45" s="4" t="str">
        <x:v>Illustrative depreciation</x:v>
      </x:c>
      <x:c r="B45" s="4"/>
      <x:c r="C45" s="4"/>
      <x:c r="D45" s="41" t="n">
        <x:f>IF($B$22&gt;0,$B$15/$B$22/12,0)</x:f>
        <x:v>6944.444444444444</x:v>
      </x:c>
      <x:c r="E45" s="41" t="n">
        <x:f>IF($B$22&gt;0,$B$15/$B$22/12,0)</x:f>
        <x:v>6944.444444444444</x:v>
      </x:c>
      <x:c r="F45" s="41" t="n">
        <x:f>IF($B$22&gt;0,$B$15/$B$22/12,0)</x:f>
        <x:v>6944.444444444444</x:v>
      </x:c>
      <x:c r="G45" s="41" t="n">
        <x:f>IF($B$22&gt;0,$B$15/$B$22/12,0)</x:f>
        <x:v>6944.444444444444</x:v>
      </x:c>
      <x:c r="H45" s="41" t="n">
        <x:f>IF($B$22&gt;0,$B$15/$B$22/12,0)</x:f>
        <x:v>6944.444444444444</x:v>
      </x:c>
      <x:c r="I45" s="41" t="n">
        <x:f>IF($B$22&gt;0,$B$15/$B$22/12,0)</x:f>
        <x:v>6944.444444444444</x:v>
      </x:c>
      <x:c r="J45" s="41" t="n">
        <x:f>IF($B$22&gt;0,$B$15/$B$22/12,0)</x:f>
        <x:v>6944.444444444444</x:v>
      </x:c>
      <x:c r="K45" s="41" t="n">
        <x:f>IF($B$22&gt;0,$B$15/$B$22/12,0)</x:f>
        <x:v>6944.444444444444</x:v>
      </x:c>
      <x:c r="L45" s="41" t="n">
        <x:f>IF($B$22&gt;0,$B$15/$B$22/12,0)</x:f>
        <x:v>6944.444444444444</x:v>
      </x:c>
      <x:c r="M45" s="41" t="n">
        <x:f>IF($B$22&gt;0,$B$15/$B$22/12,0)</x:f>
        <x:v>6944.444444444444</x:v>
      </x:c>
      <x:c r="N45" s="41" t="n">
        <x:f>IF($B$22&gt;0,$B$15/$B$22/12,0)</x:f>
        <x:v>6944.444444444444</x:v>
      </x:c>
      <x:c r="O45" s="41" t="n">
        <x:f>IF($B$22&gt;0,$B$15/$B$22/12,0)</x:f>
        <x:v>6944.444444444444</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-36944.444444444445</x:v>
      </x:c>
      <x:c r="E50" s="61" t="n">
        <x:f>E44-E45-E47</x:f>
        <x:v>-9944.444444444445</x:v>
      </x:c>
      <x:c r="F50" s="61" t="n">
        <x:f>F44-F45-F47</x:f>
        <x:v>17055.555555555555</x:v>
      </x:c>
      <x:c r="G50" s="61" t="n">
        <x:f>G44-G45-G47</x:f>
        <x:v>35055.555555555555</x:v>
      </x:c>
      <x:c r="H50" s="61" t="n">
        <x:f>H44-H45-H47</x:f>
        <x:v>44055.555555555555</x:v>
      </x:c>
      <x:c r="I50" s="61" t="n">
        <x:f>I44-I45-I47</x:f>
        <x:v>53055.555555555555</x:v>
      </x:c>
      <x:c r="J50" s="61" t="n">
        <x:f>J44-J45-J47</x:f>
        <x:v>53055.555555555555</x:v>
      </x:c>
      <x:c r="K50" s="61" t="n">
        <x:f>K44-K45-K47</x:f>
        <x:v>62055.555555555555</x:v>
      </x:c>
      <x:c r="L50" s="61" t="n">
        <x:f>L44-L45-L47</x:f>
        <x:v>62055.555555555555</x:v>
      </x:c>
      <x:c r="M50" s="61" t="n">
        <x:f>M44-M45-M47</x:f>
        <x:v>71055.55555555556</x:v>
      </x:c>
      <x:c r="N50" s="61" t="n">
        <x:f>N44-N45-N47</x:f>
        <x:v>71055.55555555556</x:v>
      </x:c>
      <x:c r="O50" s="61" t="n">
        <x:f>O44-O45-O47</x:f>
        <x:v>80055.55555555556</x:v>
      </x:c>
    </x:row>
    <x:row r="51" ht="20" customHeight="1">
      <x:c r="A51" s="4" t="str">
        <x:v>Customer cash receipts</x:v>
      </x:c>
      <x:c r="B51" s="4"/>
      <x:c r="C51" s="4"/>
      <x:c r="D51" s="41" t="n">
        <x:f>IF($B$19&lt;30,D40*(1-$B$19/30)+0*$B$19/30,IF($B$19&lt;60,0*(2-$B$19/30)+0*($B$19/30-1),IF($B$19&lt;=90,0*(3-$B$19/30)+0*($B$19/30-2),0)))</x:f>
        <x:v>165000</x:v>
      </x:c>
      <x:c r="E51" s="41" t="n">
        <x:f>IF($B$19&lt;30,E40*(1-$B$19/30)+D40*$B$19/30,IF($B$19&lt;60,D40*(2-$B$19/30)+0*($B$19/30-1),IF($B$19&lt;=90,0*(3-$B$19/30)+0*($B$19/30-2),0)))</x:f>
        <x:v>379500</x:v>
      </x:c>
      <x:c r="F51" s="41" t="n">
        <x:f>IF($B$19&lt;30,F40*(1-$B$19/30)+E40*$B$19/30,IF($B$19&lt;60,E40*(2-$B$19/30)+D40*($B$19/30-1),IF($B$19&lt;=90,D40*(3-$B$19/30)+0*($B$19/30-2),0)))</x:f>
        <x:v>478500</x:v>
      </x:c>
      <x:c r="G51" s="41" t="n">
        <x:f>IF($B$19&lt;30,G40*(1-$B$19/30)+F40*$B$19/30,IF($B$19&lt;60,F40*(2-$B$19/30)+E40*($B$19/30-1),IF($B$19&lt;=90,E40*(3-$B$19/30)+D40*($B$19/30-2),0)))</x:f>
        <x:v>561000</x:v>
      </x:c>
      <x:c r="H51" s="41" t="n">
        <x:f>IF($B$19&lt;30,H40*(1-$B$19/30)+G40*$B$19/30,IF($B$19&lt;60,G40*(2-$B$19/30)+F40*($B$19/30-1),IF($B$19&lt;=90,F40*(3-$B$19/30)+E40*($B$19/30-2),0)))</x:f>
        <x:v>610500</x:v>
      </x:c>
      <x:c r="I51" s="41" t="n">
        <x:f>IF($B$19&lt;30,I40*(1-$B$19/30)+H40*$B$19/30,IF($B$19&lt;60,H40*(2-$B$19/30)+G40*($B$19/30-1),IF($B$19&lt;=90,G40*(3-$B$19/30)+F40*($B$19/30-2),0)))</x:f>
        <x:v>643500</x:v>
      </x:c>
      <x:c r="J51" s="41" t="n">
        <x:f>IF($B$19&lt;30,J40*(1-$B$19/30)+I40*$B$19/30,IF($B$19&lt;60,I40*(2-$B$19/30)+H40*($B$19/30-1),IF($B$19&lt;=90,H40*(3-$B$19/30)+G40*($B$19/30-2),0)))</x:f>
        <x:v>660000</x:v>
      </x:c>
      <x:c r="K51" s="41" t="n">
        <x:f>IF($B$19&lt;30,K40*(1-$B$19/30)+J40*$B$19/30,IF($B$19&lt;60,J40*(2-$B$19/30)+I40*($B$19/30-1),IF($B$19&lt;=90,I40*(3-$B$19/30)+H40*($B$19/30-2),0)))</x:f>
        <x:v>676500</x:v>
      </x:c>
      <x:c r="L51" s="41" t="n">
        <x:f>IF($B$19&lt;30,L40*(1-$B$19/30)+K40*$B$19/30,IF($B$19&lt;60,K40*(2-$B$19/30)+J40*($B$19/30-1),IF($B$19&lt;=90,J40*(3-$B$19/30)+I40*($B$19/30-2),0)))</x:f>
        <x:v>693000</x:v>
      </x:c>
      <x:c r="M51" s="41" t="n">
        <x:f>IF($B$19&lt;30,M40*(1-$B$19/30)+L40*$B$19/30,IF($B$19&lt;60,L40*(2-$B$19/30)+K40*($B$19/30-1),IF($B$19&lt;=90,K40*(3-$B$19/30)+J40*($B$19/30-2),0)))</x:f>
        <x:v>709500</x:v>
      </x:c>
      <x:c r="N51" s="41" t="n">
        <x:f>IF($B$19&lt;30,N40*(1-$B$19/30)+M40*$B$19/30,IF($B$19&lt;60,M40*(2-$B$19/30)+L40*($B$19/30-1),IF($B$19&lt;=90,L40*(3-$B$19/30)+K40*($B$19/30-2),0)))</x:f>
        <x:v>726000</x:v>
      </x:c>
      <x:c r="O51" s="41" t="n">
        <x:f>IF($B$19&lt;30,O40*(1-$B$19/30)+N40*$B$19/30,IF($B$19&lt;60,N40*(2-$B$19/30)+M40*($B$19/30-1),IF($B$19&lt;=90,M40*(3-$B$19/30)+L40*($B$19/30-2),0)))</x:f>
        <x:v>742500</x:v>
      </x:c>
    </x:row>
    <x:row r="52" ht="20" customHeight="1">
      <x:c r="A52" s="4" t="str">
        <x:v>Closing receivables</x:v>
      </x:c>
      <x:c r="B52" s="4"/>
      <x:c r="C52" s="4"/>
      <x:c r="D52" s="41" t="n">
        <x:f>0+D40-D51</x:f>
        <x:v>165000</x:v>
      </x:c>
      <x:c r="E52" s="41" t="n">
        <x:f>D52+E40-E51</x:f>
        <x:v>214500</x:v>
      </x:c>
      <x:c r="F52" s="41" t="n">
        <x:f>E52+F40-F51</x:f>
        <x:v>264000</x:v>
      </x:c>
      <x:c r="G52" s="41" t="n">
        <x:f>F52+G40-G51</x:f>
        <x:v>297000</x:v>
      </x:c>
      <x:c r="H52" s="41" t="n">
        <x:f>G52+H40-H51</x:f>
        <x:v>313500</x:v>
      </x:c>
      <x:c r="I52" s="41" t="n">
        <x:f>H52+I40-I51</x:f>
        <x:v>330000</x:v>
      </x:c>
      <x:c r="J52" s="41" t="n">
        <x:f>I52+J40-J51</x:f>
        <x:v>330000</x:v>
      </x:c>
      <x:c r="K52" s="41" t="n">
        <x:f>J52+K40-K51</x:f>
        <x:v>346500</x:v>
      </x:c>
      <x:c r="L52" s="41" t="n">
        <x:f>K52+L40-L51</x:f>
        <x:v>346500</x:v>
      </x:c>
      <x:c r="M52" s="41" t="n">
        <x:f>L52+M40-M51</x:f>
        <x:v>363000</x:v>
      </x:c>
      <x:c r="N52" s="41" t="n">
        <x:f>M52+N40-N51</x:f>
        <x:v>363000</x:v>
      </x:c>
      <x:c r="O52" s="41" t="n">
        <x:f>N52+O40-O51</x:f>
        <x:v>379500</x:v>
      </x:c>
    </x:row>
    <x:row r="53" ht="20" customHeight="1">
      <x:c r="A53" s="4" t="str">
        <x:v>Closing inventory target</x:v>
      </x:c>
      <x:c r="B53" s="4"/>
      <x:c r="C53" s="4"/>
      <x:c r="D53" s="41" t="n">
        <x:f>D41*$B$13*$B$20/30</x:f>
        <x:v>0</x:v>
      </x:c>
      <x:c r="E53" s="41" t="n">
        <x:f>E41*$B$13*$B$20/30</x:f>
        <x:v>0</x:v>
      </x:c>
      <x:c r="F53" s="41" t="n">
        <x:f>F41*$B$13*$B$20/30</x:f>
        <x:v>0</x:v>
      </x:c>
      <x:c r="G53" s="41" t="n">
        <x:f>G41*$B$13*$B$20/30</x:f>
        <x:v>0</x:v>
      </x:c>
      <x:c r="H53" s="41" t="n">
        <x:f>H41*$B$13*$B$20/30</x:f>
        <x:v>0</x:v>
      </x:c>
      <x:c r="I53" s="41" t="n">
        <x:f>I41*$B$13*$B$20/30</x:f>
        <x:v>0</x:v>
      </x:c>
      <x:c r="J53" s="41" t="n">
        <x:f>J41*$B$13*$B$20/30</x:f>
        <x:v>0</x:v>
      </x:c>
      <x:c r="K53" s="41" t="n">
        <x:f>K41*$B$13*$B$20/30</x:f>
        <x:v>0</x:v>
      </x:c>
      <x:c r="L53" s="41" t="n">
        <x:f>L41*$B$13*$B$20/30</x:f>
        <x:v>0</x:v>
      </x:c>
      <x:c r="M53" s="41" t="n">
        <x:f>M41*$B$13*$B$20/30</x:f>
        <x:v>0</x:v>
      </x:c>
      <x:c r="N53" s="41" t="n">
        <x:f>N41*$B$13*$B$20/30</x:f>
        <x:v>0</x:v>
      </x:c>
      <x:c r="O53" s="41" t="n">
        <x:f>O41*$B$13*$B$20/30</x:f>
        <x:v>0</x:v>
      </x:c>
    </x:row>
    <x:row r="54" ht="20" customHeight="1">
      <x:c r="A54" s="4" t="str">
        <x:v>Change in inventory</x:v>
      </x:c>
      <x:c r="B54" s="4"/>
      <x:c r="C54" s="4"/>
      <x:c r="D54" s="41" t="n">
        <x:f>D53-0</x:f>
        <x:v>0</x:v>
      </x:c>
      <x:c r="E54" s="41" t="n">
        <x:f>E53-D53</x:f>
        <x:v>0</x:v>
      </x:c>
      <x:c r="F54" s="41" t="n">
        <x:f>F53-E53</x:f>
        <x:v>0</x:v>
      </x:c>
      <x:c r="G54" s="41" t="n">
        <x:f>G53-F53</x:f>
        <x:v>0</x:v>
      </x:c>
      <x:c r="H54" s="41" t="n">
        <x:f>H53-G53</x:f>
        <x:v>0</x:v>
      </x:c>
      <x:c r="I54" s="41" t="n">
        <x:f>I53-H53</x:f>
        <x:v>0</x:v>
      </x:c>
      <x:c r="J54" s="41" t="n">
        <x:f>J53-I53</x:f>
        <x:v>0</x:v>
      </x:c>
      <x:c r="K54" s="41" t="n">
        <x:f>K53-J53</x:f>
        <x:v>0</x:v>
      </x:c>
      <x:c r="L54" s="41" t="n">
        <x:f>L53-K53</x:f>
        <x:v>0</x:v>
      </x:c>
      <x:c r="M54" s="41" t="n">
        <x:f>M53-L53</x:f>
        <x:v>0</x:v>
      </x:c>
      <x:c r="N54" s="41" t="n">
        <x:f>N53-M53</x:f>
        <x:v>0</x:v>
      </x:c>
      <x:c r="O54" s="41" t="n">
        <x:f>O53-N53</x:f>
        <x:v>0</x:v>
      </x:c>
    </x:row>
    <x:row r="55" ht="20" customHeight="1">
      <x:c r="A55" s="4" t="str">
        <x:v>Purchases / variable cash obligation</x:v>
      </x:c>
      <x:c r="B55" s="4"/>
      <x:c r="C55" s="4"/>
      <x:c r="D55" s="41" t="n">
        <x:f>D41+D54</x:f>
        <x:v>240000</x:v>
      </x:c>
      <x:c r="E55" s="41" t="n">
        <x:f>E41+E54</x:f>
        <x:v>312000</x:v>
      </x:c>
      <x:c r="F55" s="41" t="n">
        <x:f>F41+F54</x:f>
        <x:v>384000</x:v>
      </x:c>
      <x:c r="G55" s="41" t="n">
        <x:f>G41+G54</x:f>
        <x:v>432000</x:v>
      </x:c>
      <x:c r="H55" s="41" t="n">
        <x:f>H41+H54</x:f>
        <x:v>456000</x:v>
      </x:c>
      <x:c r="I55" s="41" t="n">
        <x:f>I41+I54</x:f>
        <x:v>480000</x:v>
      </x:c>
      <x:c r="J55" s="41" t="n">
        <x:f>J41+J54</x:f>
        <x:v>480000</x:v>
      </x:c>
      <x:c r="K55" s="41" t="n">
        <x:f>K41+K54</x:f>
        <x:v>504000</x:v>
      </x:c>
      <x:c r="L55" s="41" t="n">
        <x:f>L41+L54</x:f>
        <x:v>504000</x:v>
      </x:c>
      <x:c r="M55" s="41" t="n">
        <x:f>M41+M54</x:f>
        <x:v>528000</x:v>
      </x:c>
      <x:c r="N55" s="41" t="n">
        <x:f>N41+N54</x:f>
        <x:v>528000</x:v>
      </x:c>
      <x:c r="O55" s="41" t="n">
        <x:f>O41+O54</x:f>
        <x:v>552000</x:v>
      </x:c>
    </x:row>
    <x:row r="56" ht="20" customHeight="1">
      <x:c r="A56" s="4" t="str">
        <x:v>Credit-eligible purchases</x:v>
      </x:c>
      <x:c r="B56" s="4"/>
      <x:c r="C56" s="4"/>
      <x:c r="D56" s="41" t="n">
        <x:f>D55*$B$14</x:f>
        <x:v>0</x:v>
      </x:c>
      <x:c r="E56" s="41" t="n">
        <x:f>E55*$B$14</x:f>
        <x:v>0</x:v>
      </x:c>
      <x:c r="F56" s="41" t="n">
        <x:f>F55*$B$14</x:f>
        <x:v>0</x:v>
      </x:c>
      <x:c r="G56" s="41" t="n">
        <x:f>G55*$B$14</x:f>
        <x:v>0</x:v>
      </x:c>
      <x:c r="H56" s="41" t="n">
        <x:f>H55*$B$14</x:f>
        <x:v>0</x:v>
      </x:c>
      <x:c r="I56" s="41" t="n">
        <x:f>I55*$B$14</x:f>
        <x:v>0</x:v>
      </x:c>
      <x:c r="J56" s="41" t="n">
        <x:f>J55*$B$14</x:f>
        <x:v>0</x:v>
      </x:c>
      <x:c r="K56" s="41" t="n">
        <x:f>K55*$B$14</x:f>
        <x:v>0</x:v>
      </x:c>
      <x:c r="L56" s="41" t="n">
        <x:f>L55*$B$14</x:f>
        <x:v>0</x:v>
      </x:c>
      <x:c r="M56" s="41" t="n">
        <x:f>M55*$B$14</x:f>
        <x:v>0</x:v>
      </x:c>
      <x:c r="N56" s="41" t="n">
        <x:f>N55*$B$14</x:f>
        <x:v>0</x:v>
      </x:c>
      <x:c r="O56" s="41" t="n">
        <x:f>O55*$B$14</x:f>
        <x:v>0</x:v>
      </x:c>
    </x:row>
    <x:row r="57" ht="20" customHeight="1">
      <x:c r="A57" s="4" t="str">
        <x:v>Cash paid for variable costs</x:v>
      </x:c>
      <x:c r="B57" s="4"/>
      <x:c r="C57" s="4"/>
      <x:c r="D57" s="41" t="n">
        <x:f>D55-D56+IF($B$21&lt;30,D56*(1-$B$21/30)+0*$B$21/30,IF($B$21&lt;60,0*(2-$B$21/30)+0*($B$21/30-1),IF($B$21&lt;=90,0*(3-$B$21/30)+0*($B$21/30-2),0)))</x:f>
        <x:v>240000</x:v>
      </x:c>
      <x:c r="E57" s="41" t="n">
        <x:f>E55-E56+IF($B$21&lt;30,E56*(1-$B$21/30)+D56*$B$21/30,IF($B$21&lt;60,D56*(2-$B$21/30)+0*($B$21/30-1),IF($B$21&lt;=90,0*(3-$B$21/30)+0*($B$21/30-2),0)))</x:f>
        <x:v>312000</x:v>
      </x:c>
      <x:c r="F57" s="41" t="n">
        <x:f>F55-F56+IF($B$21&lt;30,F56*(1-$B$21/30)+E56*$B$21/30,IF($B$21&lt;60,E56*(2-$B$21/30)+D56*($B$21/30-1),IF($B$21&lt;=90,D56*(3-$B$21/30)+0*($B$21/30-2),0)))</x:f>
        <x:v>384000</x:v>
      </x:c>
      <x:c r="G57" s="41" t="n">
        <x:f>G55-G56+IF($B$21&lt;30,G56*(1-$B$21/30)+F56*$B$21/30,IF($B$21&lt;60,F56*(2-$B$21/30)+E56*($B$21/30-1),IF($B$21&lt;=90,E56*(3-$B$21/30)+D56*($B$21/30-2),0)))</x:f>
        <x:v>432000</x:v>
      </x:c>
      <x:c r="H57" s="41" t="n">
        <x:f>H55-H56+IF($B$21&lt;30,H56*(1-$B$21/30)+G56*$B$21/30,IF($B$21&lt;60,G56*(2-$B$21/30)+F56*($B$21/30-1),IF($B$21&lt;=90,F56*(3-$B$21/30)+E56*($B$21/30-2),0)))</x:f>
        <x:v>456000</x:v>
      </x:c>
      <x:c r="I57" s="41" t="n">
        <x:f>I55-I56+IF($B$21&lt;30,I56*(1-$B$21/30)+H56*$B$21/30,IF($B$21&lt;60,H56*(2-$B$21/30)+G56*($B$21/30-1),IF($B$21&lt;=90,G56*(3-$B$21/30)+F56*($B$21/30-2),0)))</x:f>
        <x:v>480000</x:v>
      </x:c>
      <x:c r="J57" s="41" t="n">
        <x:f>J55-J56+IF($B$21&lt;30,J56*(1-$B$21/30)+I56*$B$21/30,IF($B$21&lt;60,I56*(2-$B$21/30)+H56*($B$21/30-1),IF($B$21&lt;=90,H56*(3-$B$21/30)+G56*($B$21/30-2),0)))</x:f>
        <x:v>480000</x:v>
      </x:c>
      <x:c r="K57" s="41" t="n">
        <x:f>K55-K56+IF($B$21&lt;30,K56*(1-$B$21/30)+J56*$B$21/30,IF($B$21&lt;60,J56*(2-$B$21/30)+I56*($B$21/30-1),IF($B$21&lt;=90,I56*(3-$B$21/30)+H56*($B$21/30-2),0)))</x:f>
        <x:v>504000</x:v>
      </x:c>
      <x:c r="L57" s="41" t="n">
        <x:f>L55-L56+IF($B$21&lt;30,L56*(1-$B$21/30)+K56*$B$21/30,IF($B$21&lt;60,K56*(2-$B$21/30)+J56*($B$21/30-1),IF($B$21&lt;=90,J56*(3-$B$21/30)+I56*($B$21/30-2),0)))</x:f>
        <x:v>504000</x:v>
      </x:c>
      <x:c r="M57" s="41" t="n">
        <x:f>M55-M56+IF($B$21&lt;30,M56*(1-$B$21/30)+L56*$B$21/30,IF($B$21&lt;60,L56*(2-$B$21/30)+K56*($B$21/30-1),IF($B$21&lt;=90,K56*(3-$B$21/30)+J56*($B$21/30-2),0)))</x:f>
        <x:v>528000</x:v>
      </x:c>
      <x:c r="N57" s="41" t="n">
        <x:f>N55-N56+IF($B$21&lt;30,N56*(1-$B$21/30)+M56*$B$21/30,IF($B$21&lt;60,M56*(2-$B$21/30)+L56*($B$21/30-1),IF($B$21&lt;=90,L56*(3-$B$21/30)+K56*($B$21/30-2),0)))</x:f>
        <x:v>528000</x:v>
      </x:c>
      <x:c r="O57" s="41" t="n">
        <x:f>O55-O56+IF($B$21&lt;30,O56*(1-$B$21/30)+N56*$B$21/30,IF($B$21&lt;60,N56*(2-$B$21/30)+M56*($B$21/30-1),IF($B$21&lt;=90,M56*(3-$B$21/30)+L56*($B$21/30-2),0)))</x:f>
        <x:v>552000</x:v>
      </x:c>
    </x:row>
    <x:row r="58" ht="20" customHeight="1">
      <x:c r="A58" s="4" t="str">
        <x:v>Closing trade payables</x:v>
      </x:c>
      <x:c r="B58" s="4"/>
      <x:c r="C58" s="4"/>
      <x:c r="D58" s="41" t="n">
        <x:f>0+D56-(IF($B$21&lt;30,D56*(1-$B$21/30)+0*$B$21/30,IF($B$21&lt;60,0*(2-$B$21/30)+0*($B$21/30-1),IF($B$21&lt;=90,0*(3-$B$21/30)+0*($B$21/30-2),0))))</x:f>
        <x:v>0</x:v>
      </x:c>
      <x:c r="E58" s="41" t="n">
        <x:f>D58+E56-(IF($B$21&lt;30,E56*(1-$B$21/30)+D56*$B$21/30,IF($B$21&lt;60,D56*(2-$B$21/30)+0*($B$21/30-1),IF($B$21&lt;=90,0*(3-$B$21/30)+0*($B$21/30-2),0))))</x:f>
        <x:v>0</x:v>
      </x:c>
      <x:c r="F58" s="41" t="n">
        <x:f>E58+F56-(IF($B$21&lt;30,F56*(1-$B$21/30)+E56*$B$21/30,IF($B$21&lt;60,E56*(2-$B$21/30)+D56*($B$21/30-1),IF($B$21&lt;=90,D56*(3-$B$21/30)+0*($B$21/30-2),0))))</x:f>
        <x:v>0</x:v>
      </x:c>
      <x:c r="G58" s="41" t="n">
        <x:f>F58+G56-(IF($B$21&lt;30,G56*(1-$B$21/30)+F56*$B$21/30,IF($B$21&lt;60,F56*(2-$B$21/30)+E56*($B$21/30-1),IF($B$21&lt;=90,E56*(3-$B$21/30)+D56*($B$21/30-2),0))))</x:f>
        <x:v>0</x:v>
      </x:c>
      <x:c r="H58" s="41" t="n">
        <x:f>G58+H56-(IF($B$21&lt;30,H56*(1-$B$21/30)+G56*$B$21/30,IF($B$21&lt;60,G56*(2-$B$21/30)+F56*($B$21/30-1),IF($B$21&lt;=90,F56*(3-$B$21/30)+E56*($B$21/30-2),0))))</x:f>
        <x:v>0</x:v>
      </x:c>
      <x:c r="I58" s="41" t="n">
        <x:f>H58+I56-(IF($B$21&lt;30,I56*(1-$B$21/30)+H56*$B$21/30,IF($B$21&lt;60,H56*(2-$B$21/30)+G56*($B$21/30-1),IF($B$21&lt;=90,G56*(3-$B$21/30)+F56*($B$21/30-2),0))))</x:f>
        <x:v>0</x:v>
      </x:c>
      <x:c r="J58" s="41" t="n">
        <x:f>I58+J56-(IF($B$21&lt;30,J56*(1-$B$21/30)+I56*$B$21/30,IF($B$21&lt;60,I56*(2-$B$21/30)+H56*($B$21/30-1),IF($B$21&lt;=90,H56*(3-$B$21/30)+G56*($B$21/30-2),0))))</x:f>
        <x:v>0</x:v>
      </x:c>
      <x:c r="K58" s="41" t="n">
        <x:f>J58+K56-(IF($B$21&lt;30,K56*(1-$B$21/30)+J56*$B$21/30,IF($B$21&lt;60,J56*(2-$B$21/30)+I56*($B$21/30-1),IF($B$21&lt;=90,I56*(3-$B$21/30)+H56*($B$21/30-2),0))))</x:f>
        <x:v>0</x:v>
      </x:c>
      <x:c r="L58" s="41" t="n">
        <x:f>K58+L56-(IF($B$21&lt;30,L56*(1-$B$21/30)+K56*$B$21/30,IF($B$21&lt;60,K56*(2-$B$21/30)+J56*($B$21/30-1),IF($B$21&lt;=90,J56*(3-$B$21/30)+I56*($B$21/30-2),0))))</x:f>
        <x:v>0</x:v>
      </x:c>
      <x:c r="M58" s="41" t="n">
        <x:f>L58+M56-(IF($B$21&lt;30,M56*(1-$B$21/30)+L56*$B$21/30,IF($B$21&lt;60,L56*(2-$B$21/30)+K56*($B$21/30-1),IF($B$21&lt;=90,K56*(3-$B$21/30)+J56*($B$21/30-2),0))))</x:f>
        <x:v>0</x:v>
      </x:c>
      <x:c r="N58" s="41" t="n">
        <x:f>M58+N56-(IF($B$21&lt;30,N56*(1-$B$21/30)+M56*$B$21/30,IF($B$21&lt;60,M56*(2-$B$21/30)+L56*($B$21/30-1),IF($B$21&lt;=90,L56*(3-$B$21/30)+K56*($B$21/30-2),0))))</x:f>
        <x:v>0</x:v>
      </x:c>
      <x:c r="O58" s="41" t="n">
        <x:f>N58+O56-(IF($B$21&lt;30,O56*(1-$B$21/30)+N56*$B$21/30,IF($B$21&lt;60,N56*(2-$B$21/30)+M56*($B$21/30-1),IF($B$21&lt;=90,M56*(3-$B$21/30)+L56*($B$21/30-2),0))))</x:f>
        <x:v>0</x:v>
      </x:c>
    </x:row>
    <x:row r="59" ht="20" customHeight="1">
      <x:c r="A59" s="60" t="str">
        <x:v>Operating cash before interest/tax</x:v>
      </x:c>
      <x:c r="B59" s="60"/>
      <x:c r="C59" s="60"/>
      <x:c r="D59" s="61" t="n">
        <x:f>D51-D57-D43</x:f>
        <x:v>-195000</x:v>
      </x:c>
      <x:c r="E59" s="61" t="n">
        <x:f>E51-E57-E43</x:f>
        <x:v>-52500</x:v>
      </x:c>
      <x:c r="F59" s="61" t="n">
        <x:f>F51-F57-F43</x:f>
        <x:v>-25500</x:v>
      </x:c>
      <x:c r="G59" s="61" t="n">
        <x:f>G51-G57-G43</x:f>
        <x:v>9000</x:v>
      </x:c>
      <x:c r="H59" s="61" t="n">
        <x:f>H51-H57-H43</x:f>
        <x:v>34500</x:v>
      </x:c>
      <x:c r="I59" s="61" t="n">
        <x:f>I51-I57-I43</x:f>
        <x:v>43500</x:v>
      </x:c>
      <x:c r="J59" s="61" t="n">
        <x:f>J51-J57-J43</x:f>
        <x:v>60000</x:v>
      </x:c>
      <x:c r="K59" s="61" t="n">
        <x:f>K51-K57-K43</x:f>
        <x:v>52500</x:v>
      </x:c>
      <x:c r="L59" s="61" t="n">
        <x:f>L51-L57-L43</x:f>
        <x:v>69000</x:v>
      </x:c>
      <x:c r="M59" s="61" t="n">
        <x:f>M51-M57-M43</x:f>
        <x:v>61500</x:v>
      </x:c>
      <x:c r="N59" s="61" t="n">
        <x:f>N51-N57-N43</x:f>
        <x:v>78000</x:v>
      </x:c>
      <x:c r="O59" s="61" t="n">
        <x:f>O51-O57-O43</x:f>
        <x:v>70500</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-195000</x:v>
      </x:c>
      <x:c r="E62" s="61" t="n">
        <x:f>E59-E47-E48-E60-E61</x:f>
        <x:v>-52500</x:v>
      </x:c>
      <x:c r="F62" s="61" t="n">
        <x:f>F59-F47-F48-F60-F61</x:f>
        <x:v>-25500</x:v>
      </x:c>
      <x:c r="G62" s="61" t="n">
        <x:f>G59-G47-G48-G60-G61</x:f>
        <x:v>9000</x:v>
      </x:c>
      <x:c r="H62" s="61" t="n">
        <x:f>H59-H47-H48-H60-H61</x:f>
        <x:v>34500</x:v>
      </x:c>
      <x:c r="I62" s="61" t="n">
        <x:f>I59-I47-I48-I60-I61</x:f>
        <x:v>43500</x:v>
      </x:c>
      <x:c r="J62" s="61" t="n">
        <x:f>J59-J47-J48-J60-J61</x:f>
        <x:v>60000</x:v>
      </x:c>
      <x:c r="K62" s="61" t="n">
        <x:f>K59-K47-K48-K60-K61</x:f>
        <x:v>52500</x:v>
      </x:c>
      <x:c r="L62" s="61" t="n">
        <x:f>L59-L47-L48-L60-L61</x:f>
        <x:v>69000</x:v>
      </x:c>
      <x:c r="M62" s="61" t="n">
        <x:f>M59-M47-M48-M60-M61</x:f>
        <x:v>61500</x:v>
      </x:c>
      <x:c r="N62" s="61" t="n">
        <x:f>N59-N47-N48-N60-N61</x:f>
        <x:v>78000</x:v>
      </x:c>
      <x:c r="O62" s="61" t="n">
        <x:f>O59-O47-O48-O60-O61</x:f>
        <x:v>70500</x:v>
      </x:c>
    </x:row>
    <x:row r="63" ht="20" customHeight="1">
      <x:c r="A63" s="4" t="str">
        <x:v>Opening cash</x:v>
      </x:c>
      <x:c r="B63" s="4"/>
      <x:c r="C63" s="4"/>
      <x:c r="D63" s="41" t="n">
        <x:f>$B$18</x:f>
        <x:v>650000</x:v>
      </x:c>
      <x:c r="E63" s="41" t="n">
        <x:f>D64</x:f>
        <x:v>455000</x:v>
      </x:c>
      <x:c r="F63" s="41" t="n">
        <x:f>E64</x:f>
        <x:v>402500</x:v>
      </x:c>
      <x:c r="G63" s="41" t="n">
        <x:f>F64</x:f>
        <x:v>377000</x:v>
      </x:c>
      <x:c r="H63" s="41" t="n">
        <x:f>G64</x:f>
        <x:v>386000</x:v>
      </x:c>
      <x:c r="I63" s="41" t="n">
        <x:f>H64</x:f>
        <x:v>420500</x:v>
      </x:c>
      <x:c r="J63" s="41" t="n">
        <x:f>I64</x:f>
        <x:v>464000</x:v>
      </x:c>
      <x:c r="K63" s="41" t="n">
        <x:f>J64</x:f>
        <x:v>524000</x:v>
      </x:c>
      <x:c r="L63" s="41" t="n">
        <x:f>K64</x:f>
        <x:v>576500</x:v>
      </x:c>
      <x:c r="M63" s="41" t="n">
        <x:f>L64</x:f>
        <x:v>645500</x:v>
      </x:c>
      <x:c r="N63" s="41" t="n">
        <x:f>M64</x:f>
        <x:v>707000</x:v>
      </x:c>
      <x:c r="O63" s="41" t="n">
        <x:f>N64</x:f>
        <x:v>785000</x:v>
      </x:c>
    </x:row>
    <x:row r="64" ht="20" customHeight="1">
      <x:c r="A64" s="60" t="str">
        <x:v>Closing cash</x:v>
      </x:c>
      <x:c r="B64" s="60"/>
      <x:c r="C64" s="60"/>
      <x:c r="D64" s="61" t="n">
        <x:f>D63+D62</x:f>
        <x:v>455000</x:v>
      </x:c>
      <x:c r="E64" s="61" t="n">
        <x:f>E63+E62</x:f>
        <x:v>402500</x:v>
      </x:c>
      <x:c r="F64" s="61" t="n">
        <x:f>F63+F62</x:f>
        <x:v>377000</x:v>
      </x:c>
      <x:c r="G64" s="61" t="n">
        <x:f>G63+G62</x:f>
        <x:v>386000</x:v>
      </x:c>
      <x:c r="H64" s="61" t="n">
        <x:f>H63+H62</x:f>
        <x:v>420500</x:v>
      </x:c>
      <x:c r="I64" s="61" t="n">
        <x:f>I63+I62</x:f>
        <x:v>464000</x:v>
      </x:c>
      <x:c r="J64" s="61" t="n">
        <x:f>J63+J62</x:f>
        <x:v>524000</x:v>
      </x:c>
      <x:c r="K64" s="61" t="n">
        <x:f>K63+K62</x:f>
        <x:v>576500</x:v>
      </x:c>
      <x:c r="L64" s="61" t="n">
        <x:f>L63+L62</x:f>
        <x:v>645500</x:v>
      </x:c>
      <x:c r="M64" s="61" t="n">
        <x:f>M63+M62</x:f>
        <x:v>707000</x:v>
      </x:c>
      <x:c r="N64" s="61" t="n">
        <x:f>N63+N62</x:f>
        <x:v>785000</x:v>
      </x:c>
      <x:c r="O64" s="61" t="n">
        <x:f>O63+O62</x:f>
        <x:v>855500</x:v>
      </x:c>
    </x:row>
    <x:row r="65" ht="20" customHeight="1">
      <x:c r="A65" s="60" t="str">
        <x:v>Additional funding if closing cash &lt; 0</x:v>
      </x:c>
      <x:c r="B65" s="60"/>
      <x:c r="C65" s="60"/>
      <x:c r="D65" s="61" t="n">
        <x:f>MAX(0,-D64)</x:f>
        <x:v>0</x:v>
      </x:c>
      <x:c r="E65" s="61" t="n">
        <x:f>MAX(0,-E64)</x:f>
        <x:v>0</x:v>
      </x:c>
      <x:c r="F65" s="61" t="n">
        <x:f>MAX(0,-F64)</x:f>
        <x:v>0</x:v>
      </x:c>
      <x:c r="G65" s="61" t="n">
        <x:f>MAX(0,-G64)</x:f>
        <x:v>0</x:v>
      </x:c>
      <x:c r="H65" s="61" t="n">
        <x:f>MAX(0,-H64)</x:f>
        <x:v>0</x:v>
      </x:c>
      <x:c r="I65" s="61" t="n">
        <x:f>MAX(0,-I64)</x:f>
        <x:v>0</x:v>
      </x:c>
      <x:c r="J65" s="61" t="n">
        <x:f>MAX(0,-J64)</x:f>
        <x:v>0</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OK</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OK</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OK</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OK</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OK</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OK</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1080000</x:v>
      </x:c>
      <x:c r="C71" s="4"/>
      <x:c r="D71" s="2"/>
      <x:c r="E71" s="2"/>
      <x:c r="F71" s="2"/>
      <x:c r="G71" s="2"/>
      <x:c r="H71" s="2"/>
      <x:c r="I71" s="2"/>
      <x:c r="J71" s="2"/>
      <x:c r="K71" s="2"/>
      <x:c r="L71" s="2"/>
      <x:c r="M71" s="2"/>
      <x:c r="N71" s="2"/>
      <x:c r="O71" s="2"/>
    </x:row>
    <x:row r="72" ht="28" customHeight="1">
      <x:c r="A72" s="4" t="str">
        <x:v>Equity funding at startup</x:v>
      </x:c>
      <x:c r="B72" s="66" t="n">
        <x:f>MAX(0,SUM(B15:B18)-B23)</x:f>
        <x:v>1080000</x:v>
      </x:c>
      <x:c r="C72" s="4"/>
      <x:c r="D72" s="2"/>
      <x:c r="E72" s="2"/>
      <x:c r="F72" s="2"/>
      <x:c r="G72" s="2"/>
      <x:c r="H72" s="2"/>
      <x:c r="I72" s="2"/>
      <x:c r="J72" s="2"/>
      <x:c r="K72" s="2"/>
      <x:c r="L72" s="2"/>
      <x:c r="M72" s="2"/>
      <x:c r="N72" s="2"/>
      <x:c r="O72" s="2"/>
    </x:row>
    <x:row r="73" ht="28" customHeight="1">
      <x:c r="A73" s="4" t="str">
        <x:v>Steady monthly unit contribution</x:v>
      </x:c>
      <x:c r="B73" s="66" t="n">
        <x:f>B9*B26-B10*B27</x:f>
        <x:v>600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200</x:v>
      </x:c>
      <x:c r="C74" s="4"/>
      <x:c r="D74" s="2"/>
      <x:c r="E74" s="2"/>
      <x:c r="F74" s="2"/>
      <x:c r="G74" s="2"/>
      <x:c r="H74" s="2"/>
      <x:c r="I74" s="2"/>
      <x:c r="J74" s="2"/>
      <x:c r="K74" s="2"/>
      <x:c r="L74" s="2"/>
      <x:c r="M74" s="2"/>
      <x:c r="N74" s="2"/>
      <x:c r="O74" s="2"/>
    </x:row>
    <x:row r="75" ht="28" customHeight="1">
      <x:c r="A75" s="4" t="str">
        <x:v>Year-one operating cash profit</x:v>
      </x:c>
      <x:c r="B75" s="66" t="n">
        <x:f>SUM(D44:O44)</x:f>
        <x:v>585000</x:v>
      </x:c>
      <x:c r="C75" s="4"/>
      <x:c r="D75" s="2"/>
      <x:c r="E75" s="2"/>
      <x:c r="F75" s="2"/>
      <x:c r="G75" s="2"/>
      <x:c r="H75" s="2"/>
      <x:c r="I75" s="2"/>
      <x:c r="J75" s="2"/>
      <x:c r="K75" s="2"/>
      <x:c r="L75" s="2"/>
      <x:c r="M75" s="2"/>
      <x:c r="N75" s="2"/>
      <x:c r="O75" s="2"/>
    </x:row>
    <x:row r="76" ht="28" customHeight="1">
      <x:c r="A76" s="4" t="str">
        <x:v>Year-one minimum closing cash</x:v>
      </x:c>
      <x:c r="B76" s="66" t="n">
        <x:f>MIN(D64:O64)</x:f>
        <x:v>377000</x:v>
      </x:c>
      <x:c r="C76" s="4"/>
      <x:c r="D76" s="2"/>
      <x:c r="E76" s="2"/>
      <x:c r="F76" s="2"/>
      <x:c r="G76" s="2"/>
      <x:c r="H76" s="2"/>
      <x:c r="I76" s="2"/>
      <x:c r="J76" s="2"/>
      <x:c r="K76" s="2"/>
      <x:c r="L76" s="2"/>
      <x:c r="M76" s="2"/>
      <x:c r="N76" s="2"/>
      <x:c r="O76" s="2"/>
    </x:row>
    <x:row r="77" ht="28" customHeight="1">
      <x:c r="A77" s="4" t="str">
        <x:v>Additional opening liquidity needed</x:v>
      </x:c>
      <x:c r="B77" s="66" t="n">
        <x:f>MAX(0,-MIN(D64:O64))</x:f>
        <x:v>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ILLUSTRATIVE</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4" priority="1">
      <x:formula>D64&lt;0</x:formula>
    </x:cfRule>
  </x:conditionalFormatting>
  <x:conditionalFormatting sqref="D66:O66">
    <x:cfRule type="expression" dxfId="43" priority="2">
      <x:formula>D66&lt;&gt;"OK"</x:formula>
    </x:cfRule>
  </x:conditionalFormatting>
  <x:pageMargins left="0.7" right="0.7" top="0.75" bottom="0.75" header="0.3" footer="0.3"/>
  <x:drawing xmlns:r="http://schemas.openxmlformats.org/officeDocument/2006/relationships" r:id="Rb240d07403c4486a"/>
  <x:legacyDrawing xmlns:r="http://schemas.openxmlformats.org/officeDocument/2006/relationships" r:id="R64c433a935924ed3"/>
</x:worksheet>
</file>

<file path=xl/worksheets/sheet8.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PCJ-22 | Packaged Food Processing &amp; Private-label Brand</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FUNDING GAP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189500</x:v>
      </x:c>
      <x:c r="G7" s="2"/>
      <x:c r="H7" s="2"/>
      <x:c r="I7" s="2"/>
      <x:c r="J7" s="2"/>
      <x:c r="K7" s="2"/>
      <x:c r="L7" s="2"/>
      <x:c r="M7" s="2"/>
      <x:c r="N7" s="2"/>
      <x:c r="O7" s="2"/>
    </x:row>
    <x:row r="8" ht="38" customHeight="1">
      <x:c r="A8" s="90" t="str">
        <x:v>Base monthly units</x:v>
      </x:c>
      <x:c r="B8" s="106" t="n">
        <x:v>20000</x:v>
      </x:c>
      <x:c r="C8" s="90" t="str">
        <x:v>Billable output, not leads or maximum capacity.</x:v>
      </x:c>
      <x:c r="D8" s="2"/>
      <x:c r="E8" s="2" t="n">
        <x:v>2</x:v>
      </x:c>
      <x:c r="F8" s="40" t="n">
        <x:f>E64</x:f>
        <x:v>-97150</x:v>
      </x:c>
      <x:c r="G8" s="2"/>
      <x:c r="H8" s="2"/>
      <x:c r="I8" s="2"/>
      <x:c r="J8" s="2"/>
      <x:c r="K8" s="2"/>
      <x:c r="L8" s="2"/>
      <x:c r="M8" s="2"/>
      <x:c r="N8" s="2"/>
      <x:c r="O8" s="2"/>
    </x:row>
    <x:row r="9" ht="38" customHeight="1">
      <x:c r="A9" s="90" t="str">
        <x:v>Net realised price / unit (INR)</x:v>
      </x:c>
      <x:c r="B9" s="106" t="n">
        <x:v>45</x:v>
      </x:c>
      <x:c r="C9" s="90" t="str">
        <x:v>Excludes GST; net of commercial reductions.</x:v>
      </x:c>
      <x:c r="D9" s="2"/>
      <x:c r="E9" s="2" t="n">
        <x:v>3</x:v>
      </x:c>
      <x:c r="F9" s="40" t="n">
        <x:f>F64</x:f>
        <x:v>-237650</x:v>
      </x:c>
      <x:c r="G9" s="2"/>
      <x:c r="H9" s="2"/>
      <x:c r="I9" s="2"/>
      <x:c r="J9" s="2"/>
      <x:c r="K9" s="2"/>
      <x:c r="L9" s="2"/>
      <x:c r="M9" s="2"/>
      <x:c r="N9" s="2"/>
      <x:c r="O9" s="2"/>
    </x:row>
    <x:row r="10" ht="38" customHeight="1">
      <x:c r="A10" s="90" t="str">
        <x:v>Variable cash cost / unit (INR)</x:v>
      </x:c>
      <x:c r="B10" s="106" t="n">
        <x:v>30</x:v>
      </x:c>
      <x:c r="C10" s="90" t="str">
        <x:v>Include expected direct rework/returns where relevant.</x:v>
      </x:c>
      <x:c r="D10" s="2"/>
      <x:c r="E10" s="2" t="n">
        <x:v>4</x:v>
      </x:c>
      <x:c r="F10" s="40" t="n">
        <x:f>G64</x:f>
        <x:v>-309100</x:v>
      </x:c>
      <x:c r="G10" s="2"/>
      <x:c r="H10" s="2"/>
      <x:c r="I10" s="2"/>
      <x:c r="J10" s="2"/>
      <x:c r="K10" s="2"/>
      <x:c r="L10" s="2"/>
      <x:c r="M10" s="2"/>
      <x:c r="N10" s="2"/>
      <x:c r="O10" s="2"/>
    </x:row>
    <x:row r="11" ht="38" customHeight="1">
      <x:c r="A11" s="90" t="str">
        <x:v>Fixed monthly cash cost (INR)</x:v>
      </x:c>
      <x:c r="B11" s="106" t="n">
        <x:v>220000</x:v>
      </x:c>
      <x:c r="C11" s="90" t="str">
        <x:v>Include supervision and realistic owner-replacement cost.</x:v>
      </x:c>
      <x:c r="D11" s="2"/>
      <x:c r="E11" s="2" t="n">
        <x:v>5</x:v>
      </x:c>
      <x:c r="F11" s="40" t="n">
        <x:f>H64</x:f>
        <x:v>-312050</x:v>
      </x:c>
      <x:c r="G11" s="2"/>
      <x:c r="H11" s="2"/>
      <x:c r="I11" s="2"/>
      <x:c r="J11" s="2"/>
      <x:c r="K11" s="2"/>
      <x:c r="L11" s="2"/>
      <x:c r="M11" s="2"/>
      <x:c r="N11" s="2"/>
      <x:c r="O11" s="2"/>
    </x:row>
    <x:row r="12" ht="38" customHeight="1">
      <x:c r="A12" s="90" t="str">
        <x:v>Safe / saleable monthly capacity</x:v>
      </x:c>
      <x:c r="B12" s="106" t="n">
        <x:v>40000</x:v>
      </x:c>
      <x:c r="C12" s="90" t="str">
        <x:v>Planning input; does not certify safe technical capacity.</x:v>
      </x:c>
      <x:c r="D12" s="2"/>
      <x:c r="E12" s="2" t="n">
        <x:v>6</x:v>
      </x:c>
      <x:c r="F12" s="40" t="n">
        <x:f>I64</x:f>
        <x:v>-285550</x:v>
      </x:c>
      <x:c r="G12" s="2"/>
      <x:c r="H12" s="2"/>
      <x:c r="I12" s="2"/>
      <x:c r="J12" s="2"/>
      <x:c r="K12" s="2"/>
      <x:c r="L12" s="2"/>
      <x:c r="M12" s="2"/>
      <x:c r="N12" s="2"/>
      <x:c r="O12" s="2"/>
    </x:row>
    <x:row r="13" ht="38" customHeight="1">
      <x:c r="A13" s="90" t="str">
        <x:v>Inventory-eligible share of variable cost</x:v>
      </x:c>
      <x:c r="B13" s="107" t="n">
        <x:v>0.85</x:v>
      </x:c>
      <x:c r="C13" s="90" t="str">
        <x:v>Only this share drives modelled inventory.</x:v>
      </x:c>
      <x:c r="D13" s="2"/>
      <x:c r="E13" s="2" t="n">
        <x:v>7</x:v>
      </x:c>
      <x:c r="F13" s="40" t="n">
        <x:f>J64</x:f>
        <x:v>-220000</x:v>
      </x:c>
      <x:c r="G13" s="2"/>
      <x:c r="H13" s="2"/>
      <x:c r="I13" s="2"/>
      <x:c r="J13" s="2"/>
      <x:c r="K13" s="2"/>
      <x:c r="L13" s="2"/>
      <x:c r="M13" s="2"/>
      <x:c r="N13" s="2"/>
      <x:c r="O13" s="2"/>
    </x:row>
    <x:row r="14" ht="38" customHeight="1">
      <x:c r="A14" s="90" t="str">
        <x:v>Supplier-credit share of purchases</x:v>
      </x:c>
      <x:c r="B14" s="107" t="n">
        <x:v>0.85</x:v>
      </x:c>
      <x:c r="C14" s="90" t="str">
        <x:v>Other costs are paid currently; do not defer payroll unlawfully.</x:v>
      </x:c>
      <x:c r="D14" s="2"/>
      <x:c r="E14" s="2" t="n">
        <x:v>8</x:v>
      </x:c>
      <x:c r="F14" s="40" t="n">
        <x:f>K64</x:f>
        <x:v>-164050</x:v>
      </x:c>
      <x:c r="G14" s="2"/>
      <x:c r="H14" s="2"/>
      <x:c r="I14" s="2"/>
      <x:c r="J14" s="2"/>
      <x:c r="K14" s="2"/>
      <x:c r="L14" s="2"/>
      <x:c r="M14" s="2"/>
      <x:c r="N14" s="2"/>
      <x:c r="O14" s="2"/>
    </x:row>
    <x:row r="15" ht="38" customHeight="1">
      <x:c r="A15" s="90" t="str">
        <x:v>Initial installed assets (INR)</x:v>
      </x:c>
      <x:c r="B15" s="106" t="n">
        <x:v>1100000</x:v>
      </x:c>
      <x:c r="C15" s="90" t="str">
        <x:v>Initial capex; further capex has a separate monthly row.</x:v>
      </x:c>
      <x:c r="D15" s="2"/>
      <x:c r="E15" s="2" t="n">
        <x:v>9</x:v>
      </x:c>
      <x:c r="F15" s="40" t="n">
        <x:f>L64</x:f>
        <x:v>-83500</x:v>
      </x:c>
      <x:c r="G15" s="2"/>
      <x:c r="H15" s="2"/>
      <x:c r="I15" s="2"/>
      <x:c r="J15" s="2"/>
      <x:c r="K15" s="2"/>
      <x:c r="L15" s="2"/>
      <x:c r="M15" s="2"/>
      <x:c r="N15" s="2"/>
      <x:c r="O15" s="2"/>
    </x:row>
    <x:row r="16" ht="38" customHeight="1">
      <x:c r="A16" s="90" t="str">
        <x:v>Refundable startup deposits (INR)</x:v>
      </x:c>
      <x:c r="B16" s="106" t="n">
        <x:v>150000</x:v>
      </x:c>
      <x:c r="C16" s="90" t="str">
        <x:v>Cash funding, not immediate operating expense.</x:v>
      </x:c>
      <x:c r="D16" s="2"/>
      <x:c r="E16" s="2" t="n">
        <x:v>10</x:v>
      </x:c>
      <x:c r="F16" s="40" t="n">
        <x:f>M64</x:f>
        <x:v>-12550</x:v>
      </x:c>
      <x:c r="G16" s="2"/>
      <x:c r="H16" s="2"/>
      <x:c r="I16" s="2"/>
      <x:c r="J16" s="2"/>
      <x:c r="K16" s="2"/>
      <x:c r="L16" s="2"/>
      <x:c r="M16" s="2"/>
      <x:c r="N16" s="2"/>
      <x:c r="O16" s="2"/>
    </x:row>
    <x:row r="17" ht="38" customHeight="1">
      <x:c r="A17" s="90" t="str">
        <x:v>Pre-opening expense (INR)</x:v>
      </x:c>
      <x:c r="B17" s="106" t="n">
        <x:v>200000</x:v>
      </x:c>
      <x:c r="C17" s="90" t="str">
        <x:v>Before month 1; excluded from forecast EBITDA.</x:v>
      </x:c>
      <x:c r="D17" s="2"/>
      <x:c r="E17" s="2" t="n">
        <x:v>11</x:v>
      </x:c>
      <x:c r="F17" s="40" t="n">
        <x:f>N64</x:f>
        <x:v>83000</x:v>
      </x:c>
      <x:c r="G17" s="2"/>
      <x:c r="H17" s="2"/>
      <x:c r="I17" s="2"/>
      <x:c r="J17" s="2"/>
      <x:c r="K17" s="2"/>
      <x:c r="L17" s="2"/>
      <x:c r="M17" s="2"/>
      <x:c r="N17" s="2"/>
      <x:c r="O17" s="2"/>
    </x:row>
    <x:row r="18" ht="38" customHeight="1">
      <x:c r="A18" s="90" t="str">
        <x:v>Opening cash reserve (INR)</x:v>
      </x:c>
      <x:c r="B18" s="106" t="n">
        <x:v>650000</x:v>
      </x:c>
      <x:c r="C18" s="90" t="str">
        <x:v>May be insufficient: review minimum closing cash.</x:v>
      </x:c>
      <x:c r="D18" s="2"/>
      <x:c r="E18" s="2" t="n">
        <x:v>12</x:v>
      </x:c>
      <x:c r="F18" s="40" t="n">
        <x:f>O64</x:f>
        <x:v>168950</x:v>
      </x:c>
      <x:c r="G18" s="2"/>
      <x:c r="H18" s="2"/>
      <x:c r="I18" s="2"/>
      <x:c r="J18" s="2"/>
      <x:c r="K18" s="2"/>
      <x:c r="L18" s="2"/>
      <x:c r="M18" s="2"/>
      <x:c r="N18" s="2"/>
      <x:c r="O18" s="2"/>
    </x:row>
    <x:row r="19" ht="38" customHeight="1">
      <x:c r="A19" s="90" t="str">
        <x:v>Collection lag (days; 0–90)</x:v>
      </x:c>
      <x:c r="B19" s="108" t="n">
        <x:v>30</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30</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20</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5</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saleable packs.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10000</x:v>
      </x:c>
      <x:c r="E36" s="41" t="n">
        <x:f>ROUND($B$8*E35*$B$25,0)</x:f>
        <x:v>13000</x:v>
      </x:c>
      <x:c r="F36" s="41" t="n">
        <x:f>ROUND($B$8*F35*$B$25,0)</x:f>
        <x:v>16000</x:v>
      </x:c>
      <x:c r="G36" s="41" t="n">
        <x:f>ROUND($B$8*G35*$B$25,0)</x:f>
        <x:v>18000</x:v>
      </x:c>
      <x:c r="H36" s="41" t="n">
        <x:f>ROUND($B$8*H35*$B$25,0)</x:f>
        <x:v>19000</x:v>
      </x:c>
      <x:c r="I36" s="41" t="n">
        <x:f>ROUND($B$8*I35*$B$25,0)</x:f>
        <x:v>20000</x:v>
      </x:c>
      <x:c r="J36" s="41" t="n">
        <x:f>ROUND($B$8*J35*$B$25,0)</x:f>
        <x:v>20000</x:v>
      </x:c>
      <x:c r="K36" s="41" t="n">
        <x:f>ROUND($B$8*K35*$B$25,0)</x:f>
        <x:v>21000</x:v>
      </x:c>
      <x:c r="L36" s="41" t="n">
        <x:f>ROUND($B$8*L35*$B$25,0)</x:f>
        <x:v>21000</x:v>
      </x:c>
      <x:c r="M36" s="41" t="n">
        <x:f>ROUND($B$8*M35*$B$25,0)</x:f>
        <x:v>22000</x:v>
      </x:c>
      <x:c r="N36" s="41" t="n">
        <x:f>ROUND($B$8*N35*$B$25,0)</x:f>
        <x:v>22000</x:v>
      </x:c>
      <x:c r="O36" s="41" t="n">
        <x:f>ROUND($B$8*O35*$B$25,0)</x:f>
        <x:v>23000</x:v>
      </x:c>
    </x:row>
    <x:row r="37" ht="20" customHeight="1">
      <x:c r="A37" s="4" t="str">
        <x:v>Safe / saleable capacity</x:v>
      </x:c>
      <x:c r="B37" s="4"/>
      <x:c r="C37" s="4"/>
      <x:c r="D37" s="41" t="n">
        <x:f>$B$12</x:f>
        <x:v>40000</x:v>
      </x:c>
      <x:c r="E37" s="41" t="n">
        <x:f>$B$12</x:f>
        <x:v>40000</x:v>
      </x:c>
      <x:c r="F37" s="41" t="n">
        <x:f>$B$12</x:f>
        <x:v>40000</x:v>
      </x:c>
      <x:c r="G37" s="41" t="n">
        <x:f>$B$12</x:f>
        <x:v>40000</x:v>
      </x:c>
      <x:c r="H37" s="41" t="n">
        <x:f>$B$12</x:f>
        <x:v>40000</x:v>
      </x:c>
      <x:c r="I37" s="41" t="n">
        <x:f>$B$12</x:f>
        <x:v>40000</x:v>
      </x:c>
      <x:c r="J37" s="41" t="n">
        <x:f>$B$12</x:f>
        <x:v>40000</x:v>
      </x:c>
      <x:c r="K37" s="41" t="n">
        <x:f>$B$12</x:f>
        <x:v>40000</x:v>
      </x:c>
      <x:c r="L37" s="41" t="n">
        <x:f>$B$12</x:f>
        <x:v>40000</x:v>
      </x:c>
      <x:c r="M37" s="41" t="n">
        <x:f>$B$12</x:f>
        <x:v>40000</x:v>
      </x:c>
      <x:c r="N37" s="41" t="n">
        <x:f>$B$12</x:f>
        <x:v>40000</x:v>
      </x:c>
      <x:c r="O37" s="41" t="n">
        <x:f>$B$12</x:f>
        <x:v>40000</x:v>
      </x:c>
    </x:row>
    <x:row r="38" ht="20" customHeight="1">
      <x:c r="A38" s="4" t="str">
        <x:v>Capacity utilisation</x:v>
      </x:c>
      <x:c r="B38" s="4"/>
      <x:c r="C38" s="4"/>
      <x:c r="D38" s="46" t="n">
        <x:f>IF(D37&gt;0,D36/D37,0)</x:f>
        <x:v>0.25</x:v>
      </x:c>
      <x:c r="E38" s="46" t="n">
        <x:f>IF(E37&gt;0,E36/E37,0)</x:f>
        <x:v>0.325</x:v>
      </x:c>
      <x:c r="F38" s="46" t="n">
        <x:f>IF(F37&gt;0,F36/F37,0)</x:f>
        <x:v>0.4</x:v>
      </x:c>
      <x:c r="G38" s="46" t="n">
        <x:f>IF(G37&gt;0,G36/G37,0)</x:f>
        <x:v>0.45</x:v>
      </x:c>
      <x:c r="H38" s="46" t="n">
        <x:f>IF(H37&gt;0,H36/H37,0)</x:f>
        <x:v>0.475</x:v>
      </x:c>
      <x:c r="I38" s="46" t="n">
        <x:f>IF(I37&gt;0,I36/I37,0)</x:f>
        <x:v>0.5</x:v>
      </x:c>
      <x:c r="J38" s="46" t="n">
        <x:f>IF(J37&gt;0,J36/J37,0)</x:f>
        <x:v>0.5</x:v>
      </x:c>
      <x:c r="K38" s="46" t="n">
        <x:f>IF(K37&gt;0,K36/K37,0)</x:f>
        <x:v>0.525</x:v>
      </x:c>
      <x:c r="L38" s="46" t="n">
        <x:f>IF(L37&gt;0,L36/L37,0)</x:f>
        <x:v>0.525</x:v>
      </x:c>
      <x:c r="M38" s="46" t="n">
        <x:f>IF(M37&gt;0,M36/M37,0)</x:f>
        <x:v>0.55</x:v>
      </x:c>
      <x:c r="N38" s="46" t="n">
        <x:f>IF(N37&gt;0,N36/N37,0)</x:f>
        <x:v>0.55</x:v>
      </x:c>
      <x:c r="O38" s="46" t="n">
        <x:f>IF(O37&gt;0,O36/O37,0)</x:f>
        <x:v>0.575</x:v>
      </x:c>
    </x:row>
    <x:row r="39" ht="20" customHeight="1">
      <x:c r="A39" s="4" t="str">
        <x:v>Net realised unit price</x:v>
      </x:c>
      <x:c r="B39" s="4"/>
      <x:c r="C39" s="4"/>
      <x:c r="D39" s="41" t="n">
        <x:f>$B$9*$B$26</x:f>
        <x:v>45</x:v>
      </x:c>
      <x:c r="E39" s="41" t="n">
        <x:f>$B$9*$B$26</x:f>
        <x:v>45</x:v>
      </x:c>
      <x:c r="F39" s="41" t="n">
        <x:f>$B$9*$B$26</x:f>
        <x:v>45</x:v>
      </x:c>
      <x:c r="G39" s="41" t="n">
        <x:f>$B$9*$B$26</x:f>
        <x:v>45</x:v>
      </x:c>
      <x:c r="H39" s="41" t="n">
        <x:f>$B$9*$B$26</x:f>
        <x:v>45</x:v>
      </x:c>
      <x:c r="I39" s="41" t="n">
        <x:f>$B$9*$B$26</x:f>
        <x:v>45</x:v>
      </x:c>
      <x:c r="J39" s="41" t="n">
        <x:f>$B$9*$B$26</x:f>
        <x:v>45</x:v>
      </x:c>
      <x:c r="K39" s="41" t="n">
        <x:f>$B$9*$B$26</x:f>
        <x:v>45</x:v>
      </x:c>
      <x:c r="L39" s="41" t="n">
        <x:f>$B$9*$B$26</x:f>
        <x:v>45</x:v>
      </x:c>
      <x:c r="M39" s="41" t="n">
        <x:f>$B$9*$B$26</x:f>
        <x:v>45</x:v>
      </x:c>
      <x:c r="N39" s="41" t="n">
        <x:f>$B$9*$B$26</x:f>
        <x:v>45</x:v>
      </x:c>
      <x:c r="O39" s="41" t="n">
        <x:f>$B$9*$B$26</x:f>
        <x:v>45</x:v>
      </x:c>
    </x:row>
    <x:row r="40" ht="20" customHeight="1">
      <x:c r="A40" s="60" t="str">
        <x:v>Revenue, excluding GST</x:v>
      </x:c>
      <x:c r="B40" s="60"/>
      <x:c r="C40" s="60"/>
      <x:c r="D40" s="61" t="n">
        <x:f>D36*D39</x:f>
        <x:v>450000</x:v>
      </x:c>
      <x:c r="E40" s="61" t="n">
        <x:f>E36*E39</x:f>
        <x:v>585000</x:v>
      </x:c>
      <x:c r="F40" s="61" t="n">
        <x:f>F36*F39</x:f>
        <x:v>720000</x:v>
      </x:c>
      <x:c r="G40" s="61" t="n">
        <x:f>G36*G39</x:f>
        <x:v>810000</x:v>
      </x:c>
      <x:c r="H40" s="61" t="n">
        <x:f>H36*H39</x:f>
        <x:v>855000</x:v>
      </x:c>
      <x:c r="I40" s="61" t="n">
        <x:f>I36*I39</x:f>
        <x:v>900000</x:v>
      </x:c>
      <x:c r="J40" s="61" t="n">
        <x:f>J36*J39</x:f>
        <x:v>900000</x:v>
      </x:c>
      <x:c r="K40" s="61" t="n">
        <x:f>K36*K39</x:f>
        <x:v>945000</x:v>
      </x:c>
      <x:c r="L40" s="61" t="n">
        <x:f>L36*L39</x:f>
        <x:v>945000</x:v>
      </x:c>
      <x:c r="M40" s="61" t="n">
        <x:f>M36*M39</x:f>
        <x:v>990000</x:v>
      </x:c>
      <x:c r="N40" s="61" t="n">
        <x:f>N36*N39</x:f>
        <x:v>990000</x:v>
      </x:c>
      <x:c r="O40" s="61" t="n">
        <x:f>O36*O39</x:f>
        <x:v>1035000</x:v>
      </x:c>
    </x:row>
    <x:row r="41" ht="20" customHeight="1">
      <x:c r="A41" s="4" t="str">
        <x:v>Variable cash cost</x:v>
      </x:c>
      <x:c r="B41" s="4"/>
      <x:c r="C41" s="4"/>
      <x:c r="D41" s="41" t="n">
        <x:f>D36*$B$10*$B$27</x:f>
        <x:v>300000</x:v>
      </x:c>
      <x:c r="E41" s="41" t="n">
        <x:f>E36*$B$10*$B$27</x:f>
        <x:v>390000</x:v>
      </x:c>
      <x:c r="F41" s="41" t="n">
        <x:f>F36*$B$10*$B$27</x:f>
        <x:v>480000</x:v>
      </x:c>
      <x:c r="G41" s="41" t="n">
        <x:f>G36*$B$10*$B$27</x:f>
        <x:v>540000</x:v>
      </x:c>
      <x:c r="H41" s="41" t="n">
        <x:f>H36*$B$10*$B$27</x:f>
        <x:v>570000</x:v>
      </x:c>
      <x:c r="I41" s="41" t="n">
        <x:f>I36*$B$10*$B$27</x:f>
        <x:v>600000</x:v>
      </x:c>
      <x:c r="J41" s="41" t="n">
        <x:f>J36*$B$10*$B$27</x:f>
        <x:v>600000</x:v>
      </x:c>
      <x:c r="K41" s="41" t="n">
        <x:f>K36*$B$10*$B$27</x:f>
        <x:v>630000</x:v>
      </x:c>
      <x:c r="L41" s="41" t="n">
        <x:f>L36*$B$10*$B$27</x:f>
        <x:v>630000</x:v>
      </x:c>
      <x:c r="M41" s="41" t="n">
        <x:f>M36*$B$10*$B$27</x:f>
        <x:v>660000</x:v>
      </x:c>
      <x:c r="N41" s="41" t="n">
        <x:f>N36*$B$10*$B$27</x:f>
        <x:v>660000</x:v>
      </x:c>
      <x:c r="O41" s="41" t="n">
        <x:f>O36*$B$10*$B$27</x:f>
        <x:v>690000</x:v>
      </x:c>
    </x:row>
    <x:row r="42" ht="20" customHeight="1">
      <x:c r="A42" s="4" t="str">
        <x:v>Contribution</x:v>
      </x:c>
      <x:c r="B42" s="4"/>
      <x:c r="C42" s="4"/>
      <x:c r="D42" s="41" t="n">
        <x:f>D40-D41</x:f>
        <x:v>150000</x:v>
      </x:c>
      <x:c r="E42" s="41" t="n">
        <x:f>E40-E41</x:f>
        <x:v>195000</x:v>
      </x:c>
      <x:c r="F42" s="41" t="n">
        <x:f>F40-F41</x:f>
        <x:v>240000</x:v>
      </x:c>
      <x:c r="G42" s="41" t="n">
        <x:f>G40-G41</x:f>
        <x:v>270000</x:v>
      </x:c>
      <x:c r="H42" s="41" t="n">
        <x:f>H40-H41</x:f>
        <x:v>285000</x:v>
      </x:c>
      <x:c r="I42" s="41" t="n">
        <x:f>I40-I41</x:f>
        <x:v>300000</x:v>
      </x:c>
      <x:c r="J42" s="41" t="n">
        <x:f>J40-J41</x:f>
        <x:v>300000</x:v>
      </x:c>
      <x:c r="K42" s="41" t="n">
        <x:f>K40-K41</x:f>
        <x:v>315000</x:v>
      </x:c>
      <x:c r="L42" s="41" t="n">
        <x:f>L40-L41</x:f>
        <x:v>315000</x:v>
      </x:c>
      <x:c r="M42" s="41" t="n">
        <x:f>M40-M41</x:f>
        <x:v>330000</x:v>
      </x:c>
      <x:c r="N42" s="41" t="n">
        <x:f>N40-N41</x:f>
        <x:v>330000</x:v>
      </x:c>
      <x:c r="O42" s="41" t="n">
        <x:f>O40-O41</x:f>
        <x:v>345000</x:v>
      </x:c>
    </x:row>
    <x:row r="43" ht="20" customHeight="1">
      <x:c r="A43" s="4" t="str">
        <x:v>Fixed cash cost</x:v>
      </x:c>
      <x:c r="B43" s="4"/>
      <x:c r="C43" s="4"/>
      <x:c r="D43" s="41" t="n">
        <x:f>$B$11*$B$28</x:f>
        <x:v>220000</x:v>
      </x:c>
      <x:c r="E43" s="41" t="n">
        <x:f>$B$11*$B$28</x:f>
        <x:v>220000</x:v>
      </x:c>
      <x:c r="F43" s="41" t="n">
        <x:f>$B$11*$B$28</x:f>
        <x:v>220000</x:v>
      </x:c>
      <x:c r="G43" s="41" t="n">
        <x:f>$B$11*$B$28</x:f>
        <x:v>220000</x:v>
      </x:c>
      <x:c r="H43" s="41" t="n">
        <x:f>$B$11*$B$28</x:f>
        <x:v>220000</x:v>
      </x:c>
      <x:c r="I43" s="41" t="n">
        <x:f>$B$11*$B$28</x:f>
        <x:v>220000</x:v>
      </x:c>
      <x:c r="J43" s="41" t="n">
        <x:f>$B$11*$B$28</x:f>
        <x:v>220000</x:v>
      </x:c>
      <x:c r="K43" s="41" t="n">
        <x:f>$B$11*$B$28</x:f>
        <x:v>220000</x:v>
      </x:c>
      <x:c r="L43" s="41" t="n">
        <x:f>$B$11*$B$28</x:f>
        <x:v>220000</x:v>
      </x:c>
      <x:c r="M43" s="41" t="n">
        <x:f>$B$11*$B$28</x:f>
        <x:v>220000</x:v>
      </x:c>
      <x:c r="N43" s="41" t="n">
        <x:f>$B$11*$B$28</x:f>
        <x:v>220000</x:v>
      </x:c>
      <x:c r="O43" s="41" t="n">
        <x:f>$B$11*$B$28</x:f>
        <x:v>220000</x:v>
      </x:c>
    </x:row>
    <x:row r="44" ht="20" customHeight="1">
      <x:c r="A44" s="60" t="str">
        <x:v>Operating cash profit (EBITDA)</x:v>
      </x:c>
      <x:c r="B44" s="60"/>
      <x:c r="C44" s="60"/>
      <x:c r="D44" s="61" t="n">
        <x:f>D42-D43</x:f>
        <x:v>-70000</x:v>
      </x:c>
      <x:c r="E44" s="61" t="n">
        <x:f>E42-E43</x:f>
        <x:v>-25000</x:v>
      </x:c>
      <x:c r="F44" s="61" t="n">
        <x:f>F42-F43</x:f>
        <x:v>20000</x:v>
      </x:c>
      <x:c r="G44" s="61" t="n">
        <x:f>G42-G43</x:f>
        <x:v>50000</x:v>
      </x:c>
      <x:c r="H44" s="61" t="n">
        <x:f>H42-H43</x:f>
        <x:v>65000</x:v>
      </x:c>
      <x:c r="I44" s="61" t="n">
        <x:f>I42-I43</x:f>
        <x:v>80000</x:v>
      </x:c>
      <x:c r="J44" s="61" t="n">
        <x:f>J42-J43</x:f>
        <x:v>80000</x:v>
      </x:c>
      <x:c r="K44" s="61" t="n">
        <x:f>K42-K43</x:f>
        <x:v>95000</x:v>
      </x:c>
      <x:c r="L44" s="61" t="n">
        <x:f>L42-L43</x:f>
        <x:v>95000</x:v>
      </x:c>
      <x:c r="M44" s="61" t="n">
        <x:f>M42-M43</x:f>
        <x:v>110000</x:v>
      </x:c>
      <x:c r="N44" s="61" t="n">
        <x:f>N42-N43</x:f>
        <x:v>110000</x:v>
      </x:c>
      <x:c r="O44" s="61" t="n">
        <x:f>O42-O43</x:f>
        <x:v>125000</x:v>
      </x:c>
    </x:row>
    <x:row r="45" ht="20" customHeight="1">
      <x:c r="A45" s="4" t="str">
        <x:v>Illustrative depreciation</x:v>
      </x:c>
      <x:c r="B45" s="4"/>
      <x:c r="C45" s="4"/>
      <x:c r="D45" s="41" t="n">
        <x:f>IF($B$22&gt;0,$B$15/$B$22/12,0)</x:f>
        <x:v>18333.333333333332</x:v>
      </x:c>
      <x:c r="E45" s="41" t="n">
        <x:f>IF($B$22&gt;0,$B$15/$B$22/12,0)</x:f>
        <x:v>18333.333333333332</x:v>
      </x:c>
      <x:c r="F45" s="41" t="n">
        <x:f>IF($B$22&gt;0,$B$15/$B$22/12,0)</x:f>
        <x:v>18333.333333333332</x:v>
      </x:c>
      <x:c r="G45" s="41" t="n">
        <x:f>IF($B$22&gt;0,$B$15/$B$22/12,0)</x:f>
        <x:v>18333.333333333332</x:v>
      </x:c>
      <x:c r="H45" s="41" t="n">
        <x:f>IF($B$22&gt;0,$B$15/$B$22/12,0)</x:f>
        <x:v>18333.333333333332</x:v>
      </x:c>
      <x:c r="I45" s="41" t="n">
        <x:f>IF($B$22&gt;0,$B$15/$B$22/12,0)</x:f>
        <x:v>18333.333333333332</x:v>
      </x:c>
      <x:c r="J45" s="41" t="n">
        <x:f>IF($B$22&gt;0,$B$15/$B$22/12,0)</x:f>
        <x:v>18333.333333333332</x:v>
      </x:c>
      <x:c r="K45" s="41" t="n">
        <x:f>IF($B$22&gt;0,$B$15/$B$22/12,0)</x:f>
        <x:v>18333.333333333332</x:v>
      </x:c>
      <x:c r="L45" s="41" t="n">
        <x:f>IF($B$22&gt;0,$B$15/$B$22/12,0)</x:f>
        <x:v>18333.333333333332</x:v>
      </x:c>
      <x:c r="M45" s="41" t="n">
        <x:f>IF($B$22&gt;0,$B$15/$B$22/12,0)</x:f>
        <x:v>18333.333333333332</x:v>
      </x:c>
      <x:c r="N45" s="41" t="n">
        <x:f>IF($B$22&gt;0,$B$15/$B$22/12,0)</x:f>
        <x:v>18333.333333333332</x:v>
      </x:c>
      <x:c r="O45" s="41" t="n">
        <x:f>IF($B$22&gt;0,$B$15/$B$22/12,0)</x:f>
        <x:v>18333.333333333332</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-88333.33333333333</x:v>
      </x:c>
      <x:c r="E50" s="61" t="n">
        <x:f>E44-E45-E47</x:f>
        <x:v>-43333.33333333333</x:v>
      </x:c>
      <x:c r="F50" s="61" t="n">
        <x:f>F44-F45-F47</x:f>
        <x:v>1666.6666666666679</x:v>
      </x:c>
      <x:c r="G50" s="61" t="n">
        <x:f>G44-G45-G47</x:f>
        <x:v>31666.666666666668</x:v>
      </x:c>
      <x:c r="H50" s="61" t="n">
        <x:f>H44-H45-H47</x:f>
        <x:v>46666.66666666667</x:v>
      </x:c>
      <x:c r="I50" s="61" t="n">
        <x:f>I44-I45-I47</x:f>
        <x:v>61666.66666666667</x:v>
      </x:c>
      <x:c r="J50" s="61" t="n">
        <x:f>J44-J45-J47</x:f>
        <x:v>61666.66666666667</x:v>
      </x:c>
      <x:c r="K50" s="61" t="n">
        <x:f>K44-K45-K47</x:f>
        <x:v>76666.66666666667</x:v>
      </x:c>
      <x:c r="L50" s="61" t="n">
        <x:f>L44-L45-L47</x:f>
        <x:v>76666.66666666667</x:v>
      </x:c>
      <x:c r="M50" s="61" t="n">
        <x:f>M44-M45-M47</x:f>
        <x:v>91666.66666666667</x:v>
      </x:c>
      <x:c r="N50" s="61" t="n">
        <x:f>N44-N45-N47</x:f>
        <x:v>91666.66666666667</x:v>
      </x:c>
      <x:c r="O50" s="61" t="n">
        <x:f>O44-O45-O47</x:f>
        <x:v>106666.66666666667</x:v>
      </x:c>
    </x:row>
    <x:row r="51" ht="20" customHeight="1">
      <x:c r="A51" s="4" t="str">
        <x:v>Customer cash receipts</x:v>
      </x:c>
      <x:c r="B51" s="4"/>
      <x:c r="C51" s="4"/>
      <x:c r="D51" s="41" t="n">
        <x:f>IF($B$19&lt;30,D40*(1-$B$19/30)+0*$B$19/30,IF($B$19&lt;60,0*(2-$B$19/30)+0*($B$19/30-1),IF($B$19&lt;=90,0*(3-$B$19/30)+0*($B$19/30-2),0)))</x:f>
        <x:v>0</x:v>
      </x:c>
      <x:c r="E51" s="41" t="n">
        <x:f>IF($B$19&lt;30,E40*(1-$B$19/30)+D40*$B$19/30,IF($B$19&lt;60,D40*(2-$B$19/30)+0*($B$19/30-1),IF($B$19&lt;=90,0*(3-$B$19/30)+0*($B$19/30-2),0)))</x:f>
        <x:v>450000</x:v>
      </x:c>
      <x:c r="F51" s="41" t="n">
        <x:f>IF($B$19&lt;30,F40*(1-$B$19/30)+E40*$B$19/30,IF($B$19&lt;60,E40*(2-$B$19/30)+D40*($B$19/30-1),IF($B$19&lt;=90,D40*(3-$B$19/30)+0*($B$19/30-2),0)))</x:f>
        <x:v>585000</x:v>
      </x:c>
      <x:c r="G51" s="41" t="n">
        <x:f>IF($B$19&lt;30,G40*(1-$B$19/30)+F40*$B$19/30,IF($B$19&lt;60,F40*(2-$B$19/30)+E40*($B$19/30-1),IF($B$19&lt;=90,E40*(3-$B$19/30)+D40*($B$19/30-2),0)))</x:f>
        <x:v>720000</x:v>
      </x:c>
      <x:c r="H51" s="41" t="n">
        <x:f>IF($B$19&lt;30,H40*(1-$B$19/30)+G40*$B$19/30,IF($B$19&lt;60,G40*(2-$B$19/30)+F40*($B$19/30-1),IF($B$19&lt;=90,F40*(3-$B$19/30)+E40*($B$19/30-2),0)))</x:f>
        <x:v>810000</x:v>
      </x:c>
      <x:c r="I51" s="41" t="n">
        <x:f>IF($B$19&lt;30,I40*(1-$B$19/30)+H40*$B$19/30,IF($B$19&lt;60,H40*(2-$B$19/30)+G40*($B$19/30-1),IF($B$19&lt;=90,G40*(3-$B$19/30)+F40*($B$19/30-2),0)))</x:f>
        <x:v>855000</x:v>
      </x:c>
      <x:c r="J51" s="41" t="n">
        <x:f>IF($B$19&lt;30,J40*(1-$B$19/30)+I40*$B$19/30,IF($B$19&lt;60,I40*(2-$B$19/30)+H40*($B$19/30-1),IF($B$19&lt;=90,H40*(3-$B$19/30)+G40*($B$19/30-2),0)))</x:f>
        <x:v>900000</x:v>
      </x:c>
      <x:c r="K51" s="41" t="n">
        <x:f>IF($B$19&lt;30,K40*(1-$B$19/30)+J40*$B$19/30,IF($B$19&lt;60,J40*(2-$B$19/30)+I40*($B$19/30-1),IF($B$19&lt;=90,I40*(3-$B$19/30)+H40*($B$19/30-2),0)))</x:f>
        <x:v>900000</x:v>
      </x:c>
      <x:c r="L51" s="41" t="n">
        <x:f>IF($B$19&lt;30,L40*(1-$B$19/30)+K40*$B$19/30,IF($B$19&lt;60,K40*(2-$B$19/30)+J40*($B$19/30-1),IF($B$19&lt;=90,J40*(3-$B$19/30)+I40*($B$19/30-2),0)))</x:f>
        <x:v>945000</x:v>
      </x:c>
      <x:c r="M51" s="41" t="n">
        <x:f>IF($B$19&lt;30,M40*(1-$B$19/30)+L40*$B$19/30,IF($B$19&lt;60,L40*(2-$B$19/30)+K40*($B$19/30-1),IF($B$19&lt;=90,K40*(3-$B$19/30)+J40*($B$19/30-2),0)))</x:f>
        <x:v>945000</x:v>
      </x:c>
      <x:c r="N51" s="41" t="n">
        <x:f>IF($B$19&lt;30,N40*(1-$B$19/30)+M40*$B$19/30,IF($B$19&lt;60,M40*(2-$B$19/30)+L40*($B$19/30-1),IF($B$19&lt;=90,L40*(3-$B$19/30)+K40*($B$19/30-2),0)))</x:f>
        <x:v>990000</x:v>
      </x:c>
      <x:c r="O51" s="41" t="n">
        <x:f>IF($B$19&lt;30,O40*(1-$B$19/30)+N40*$B$19/30,IF($B$19&lt;60,N40*(2-$B$19/30)+M40*($B$19/30-1),IF($B$19&lt;=90,M40*(3-$B$19/30)+L40*($B$19/30-2),0)))</x:f>
        <x:v>990000</x:v>
      </x:c>
    </x:row>
    <x:row r="52" ht="20" customHeight="1">
      <x:c r="A52" s="4" t="str">
        <x:v>Closing receivables</x:v>
      </x:c>
      <x:c r="B52" s="4"/>
      <x:c r="C52" s="4"/>
      <x:c r="D52" s="41" t="n">
        <x:f>0+D40-D51</x:f>
        <x:v>450000</x:v>
      </x:c>
      <x:c r="E52" s="41" t="n">
        <x:f>D52+E40-E51</x:f>
        <x:v>585000</x:v>
      </x:c>
      <x:c r="F52" s="41" t="n">
        <x:f>E52+F40-F51</x:f>
        <x:v>720000</x:v>
      </x:c>
      <x:c r="G52" s="41" t="n">
        <x:f>F52+G40-G51</x:f>
        <x:v>810000</x:v>
      </x:c>
      <x:c r="H52" s="41" t="n">
        <x:f>G52+H40-H51</x:f>
        <x:v>855000</x:v>
      </x:c>
      <x:c r="I52" s="41" t="n">
        <x:f>H52+I40-I51</x:f>
        <x:v>900000</x:v>
      </x:c>
      <x:c r="J52" s="41" t="n">
        <x:f>I52+J40-J51</x:f>
        <x:v>900000</x:v>
      </x:c>
      <x:c r="K52" s="41" t="n">
        <x:f>J52+K40-K51</x:f>
        <x:v>945000</x:v>
      </x:c>
      <x:c r="L52" s="41" t="n">
        <x:f>K52+L40-L51</x:f>
        <x:v>945000</x:v>
      </x:c>
      <x:c r="M52" s="41" t="n">
        <x:f>L52+M40-M51</x:f>
        <x:v>990000</x:v>
      </x:c>
      <x:c r="N52" s="41" t="n">
        <x:f>M52+N40-N51</x:f>
        <x:v>990000</x:v>
      </x:c>
      <x:c r="O52" s="41" t="n">
        <x:f>N52+O40-O51</x:f>
        <x:v>1035000</x:v>
      </x:c>
    </x:row>
    <x:row r="53" ht="20" customHeight="1">
      <x:c r="A53" s="4" t="str">
        <x:v>Closing inventory target</x:v>
      </x:c>
      <x:c r="B53" s="4"/>
      <x:c r="C53" s="4"/>
      <x:c r="D53" s="41" t="n">
        <x:f>D41*$B$13*$B$20/30</x:f>
        <x:v>255000</x:v>
      </x:c>
      <x:c r="E53" s="41" t="n">
        <x:f>E41*$B$13*$B$20/30</x:f>
        <x:v>331500</x:v>
      </x:c>
      <x:c r="F53" s="41" t="n">
        <x:f>F41*$B$13*$B$20/30</x:f>
        <x:v>408000</x:v>
      </x:c>
      <x:c r="G53" s="41" t="n">
        <x:f>G41*$B$13*$B$20/30</x:f>
        <x:v>459000</x:v>
      </x:c>
      <x:c r="H53" s="41" t="n">
        <x:f>H41*$B$13*$B$20/30</x:f>
        <x:v>484500</x:v>
      </x:c>
      <x:c r="I53" s="41" t="n">
        <x:f>I41*$B$13*$B$20/30</x:f>
        <x:v>510000</x:v>
      </x:c>
      <x:c r="J53" s="41" t="n">
        <x:f>J41*$B$13*$B$20/30</x:f>
        <x:v>510000</x:v>
      </x:c>
      <x:c r="K53" s="41" t="n">
        <x:f>K41*$B$13*$B$20/30</x:f>
        <x:v>535500</x:v>
      </x:c>
      <x:c r="L53" s="41" t="n">
        <x:f>L41*$B$13*$B$20/30</x:f>
        <x:v>535500</x:v>
      </x:c>
      <x:c r="M53" s="41" t="n">
        <x:f>M41*$B$13*$B$20/30</x:f>
        <x:v>561000</x:v>
      </x:c>
      <x:c r="N53" s="41" t="n">
        <x:f>N41*$B$13*$B$20/30</x:f>
        <x:v>561000</x:v>
      </x:c>
      <x:c r="O53" s="41" t="n">
        <x:f>O41*$B$13*$B$20/30</x:f>
        <x:v>586500</x:v>
      </x:c>
    </x:row>
    <x:row r="54" ht="20" customHeight="1">
      <x:c r="A54" s="4" t="str">
        <x:v>Change in inventory</x:v>
      </x:c>
      <x:c r="B54" s="4"/>
      <x:c r="C54" s="4"/>
      <x:c r="D54" s="41" t="n">
        <x:f>D53-0</x:f>
        <x:v>255000</x:v>
      </x:c>
      <x:c r="E54" s="41" t="n">
        <x:f>E53-D53</x:f>
        <x:v>76500</x:v>
      </x:c>
      <x:c r="F54" s="41" t="n">
        <x:f>F53-E53</x:f>
        <x:v>76500</x:v>
      </x:c>
      <x:c r="G54" s="41" t="n">
        <x:f>G53-F53</x:f>
        <x:v>51000</x:v>
      </x:c>
      <x:c r="H54" s="41" t="n">
        <x:f>H53-G53</x:f>
        <x:v>25500</x:v>
      </x:c>
      <x:c r="I54" s="41" t="n">
        <x:f>I53-H53</x:f>
        <x:v>25500</x:v>
      </x:c>
      <x:c r="J54" s="41" t="n">
        <x:f>J53-I53</x:f>
        <x:v>0</x:v>
      </x:c>
      <x:c r="K54" s="41" t="n">
        <x:f>K53-J53</x:f>
        <x:v>25500</x:v>
      </x:c>
      <x:c r="L54" s="41" t="n">
        <x:f>L53-K53</x:f>
        <x:v>0</x:v>
      </x:c>
      <x:c r="M54" s="41" t="n">
        <x:f>M53-L53</x:f>
        <x:v>25500</x:v>
      </x:c>
      <x:c r="N54" s="41" t="n">
        <x:f>N53-M53</x:f>
        <x:v>0</x:v>
      </x:c>
      <x:c r="O54" s="41" t="n">
        <x:f>O53-N53</x:f>
        <x:v>25500</x:v>
      </x:c>
    </x:row>
    <x:row r="55" ht="20" customHeight="1">
      <x:c r="A55" s="4" t="str">
        <x:v>Purchases / variable cash obligation</x:v>
      </x:c>
      <x:c r="B55" s="4"/>
      <x:c r="C55" s="4"/>
      <x:c r="D55" s="41" t="n">
        <x:f>D41+D54</x:f>
        <x:v>555000</x:v>
      </x:c>
      <x:c r="E55" s="41" t="n">
        <x:f>E41+E54</x:f>
        <x:v>466500</x:v>
      </x:c>
      <x:c r="F55" s="41" t="n">
        <x:f>F41+F54</x:f>
        <x:v>556500</x:v>
      </x:c>
      <x:c r="G55" s="41" t="n">
        <x:f>G41+G54</x:f>
        <x:v>591000</x:v>
      </x:c>
      <x:c r="H55" s="41" t="n">
        <x:f>H41+H54</x:f>
        <x:v>595500</x:v>
      </x:c>
      <x:c r="I55" s="41" t="n">
        <x:f>I41+I54</x:f>
        <x:v>625500</x:v>
      </x:c>
      <x:c r="J55" s="41" t="n">
        <x:f>J41+J54</x:f>
        <x:v>600000</x:v>
      </x:c>
      <x:c r="K55" s="41" t="n">
        <x:f>K41+K54</x:f>
        <x:v>655500</x:v>
      </x:c>
      <x:c r="L55" s="41" t="n">
        <x:f>L41+L54</x:f>
        <x:v>630000</x:v>
      </x:c>
      <x:c r="M55" s="41" t="n">
        <x:f>M41+M54</x:f>
        <x:v>685500</x:v>
      </x:c>
      <x:c r="N55" s="41" t="n">
        <x:f>N41+N54</x:f>
        <x:v>660000</x:v>
      </x:c>
      <x:c r="O55" s="41" t="n">
        <x:f>O41+O54</x:f>
        <x:v>715500</x:v>
      </x:c>
    </x:row>
    <x:row r="56" ht="20" customHeight="1">
      <x:c r="A56" s="4" t="str">
        <x:v>Credit-eligible purchases</x:v>
      </x:c>
      <x:c r="B56" s="4"/>
      <x:c r="C56" s="4"/>
      <x:c r="D56" s="41" t="n">
        <x:f>D55*$B$14</x:f>
        <x:v>471750</x:v>
      </x:c>
      <x:c r="E56" s="41" t="n">
        <x:f>E55*$B$14</x:f>
        <x:v>396525</x:v>
      </x:c>
      <x:c r="F56" s="41" t="n">
        <x:f>F55*$B$14</x:f>
        <x:v>473025</x:v>
      </x:c>
      <x:c r="G56" s="41" t="n">
        <x:f>G55*$B$14</x:f>
        <x:v>502350</x:v>
      </x:c>
      <x:c r="H56" s="41" t="n">
        <x:f>H55*$B$14</x:f>
        <x:v>506175</x:v>
      </x:c>
      <x:c r="I56" s="41" t="n">
        <x:f>I55*$B$14</x:f>
        <x:v>531675</x:v>
      </x:c>
      <x:c r="J56" s="41" t="n">
        <x:f>J55*$B$14</x:f>
        <x:v>510000</x:v>
      </x:c>
      <x:c r="K56" s="41" t="n">
        <x:f>K55*$B$14</x:f>
        <x:v>557175</x:v>
      </x:c>
      <x:c r="L56" s="41" t="n">
        <x:f>L55*$B$14</x:f>
        <x:v>535500</x:v>
      </x:c>
      <x:c r="M56" s="41" t="n">
        <x:f>M55*$B$14</x:f>
        <x:v>582675</x:v>
      </x:c>
      <x:c r="N56" s="41" t="n">
        <x:f>N55*$B$14</x:f>
        <x:v>561000</x:v>
      </x:c>
      <x:c r="O56" s="41" t="n">
        <x:f>O55*$B$14</x:f>
        <x:v>608175</x:v>
      </x:c>
    </x:row>
    <x:row r="57" ht="20" customHeight="1">
      <x:c r="A57" s="4" t="str">
        <x:v>Cash paid for variable costs</x:v>
      </x:c>
      <x:c r="B57" s="4"/>
      <x:c r="C57" s="4"/>
      <x:c r="D57" s="41" t="n">
        <x:f>D55-D56+IF($B$21&lt;30,D56*(1-$B$21/30)+0*$B$21/30,IF($B$21&lt;60,0*(2-$B$21/30)+0*($B$21/30-1),IF($B$21&lt;=90,0*(3-$B$21/30)+0*($B$21/30-2),0)))</x:f>
        <x:v>240500.00000000003</x:v>
      </x:c>
      <x:c r="E57" s="41" t="n">
        <x:f>E55-E56+IF($B$21&lt;30,E56*(1-$B$21/30)+D56*$B$21/30,IF($B$21&lt;60,D56*(2-$B$21/30)+0*($B$21/30-1),IF($B$21&lt;=90,0*(3-$B$21/30)+0*($B$21/30-2),0)))</x:f>
        <x:v>516650</x:v>
      </x:c>
      <x:c r="F57" s="41" t="n">
        <x:f>F55-F56+IF($B$21&lt;30,F56*(1-$B$21/30)+E56*$B$21/30,IF($B$21&lt;60,E56*(2-$B$21/30)+D56*($B$21/30-1),IF($B$21&lt;=90,D56*(3-$B$21/30)+0*($B$21/30-2),0)))</x:f>
        <x:v>505500</x:v>
      </x:c>
      <x:c r="G57" s="41" t="n">
        <x:f>G55-G56+IF($B$21&lt;30,G56*(1-$B$21/30)+F56*$B$21/30,IF($B$21&lt;60,F56*(2-$B$21/30)+E56*($B$21/30-1),IF($B$21&lt;=90,E56*(3-$B$21/30)+D56*($B$21/30-2),0)))</x:f>
        <x:v>571450</x:v>
      </x:c>
      <x:c r="H57" s="41" t="n">
        <x:f>H55-H56+IF($B$21&lt;30,H56*(1-$B$21/30)+G56*$B$21/30,IF($B$21&lt;60,G56*(2-$B$21/30)+F56*($B$21/30-1),IF($B$21&lt;=90,F56*(3-$B$21/30)+E56*($B$21/30-2),0)))</x:f>
        <x:v>592950</x:v>
      </x:c>
      <x:c r="I57" s="41" t="n">
        <x:f>I55-I56+IF($B$21&lt;30,I56*(1-$B$21/30)+H56*$B$21/30,IF($B$21&lt;60,H56*(2-$B$21/30)+G56*($B$21/30-1),IF($B$21&lt;=90,G56*(3-$B$21/30)+F56*($B$21/30-2),0)))</x:f>
        <x:v>608500</x:v>
      </x:c>
      <x:c r="J57" s="41" t="n">
        <x:f>J55-J56+IF($B$21&lt;30,J56*(1-$B$21/30)+I56*$B$21/30,IF($B$21&lt;60,I56*(2-$B$21/30)+H56*($B$21/30-1),IF($B$21&lt;=90,H56*(3-$B$21/30)+G56*($B$21/30-2),0)))</x:f>
        <x:v>614450</x:v>
      </x:c>
      <x:c r="K57" s="41" t="n">
        <x:f>K55-K56+IF($B$21&lt;30,K56*(1-$B$21/30)+J56*$B$21/30,IF($B$21&lt;60,J56*(2-$B$21/30)+I56*($B$21/30-1),IF($B$21&lt;=90,I56*(3-$B$21/30)+H56*($B$21/30-2),0)))</x:f>
        <x:v>624050</x:v>
      </x:c>
      <x:c r="L57" s="41" t="n">
        <x:f>L55-L56+IF($B$21&lt;30,L56*(1-$B$21/30)+K56*$B$21/30,IF($B$21&lt;60,K56*(2-$B$21/30)+J56*($B$21/30-1),IF($B$21&lt;=90,J56*(3-$B$21/30)+I56*($B$21/30-2),0)))</x:f>
        <x:v>644450</x:v>
      </x:c>
      <x:c r="M57" s="41" t="n">
        <x:f>M55-M56+IF($B$21&lt;30,M56*(1-$B$21/30)+L56*$B$21/30,IF($B$21&lt;60,L56*(2-$B$21/30)+K56*($B$21/30-1),IF($B$21&lt;=90,K56*(3-$B$21/30)+J56*($B$21/30-2),0)))</x:f>
        <x:v>654050</x:v>
      </x:c>
      <x:c r="N57" s="41" t="n">
        <x:f>N55-N56+IF($B$21&lt;30,N56*(1-$B$21/30)+M56*$B$21/30,IF($B$21&lt;60,M56*(2-$B$21/30)+L56*($B$21/30-1),IF($B$21&lt;=90,L56*(3-$B$21/30)+K56*($B$21/30-2),0)))</x:f>
        <x:v>674450</x:v>
      </x:c>
      <x:c r="O57" s="41" t="n">
        <x:f>O55-O56+IF($B$21&lt;30,O56*(1-$B$21/30)+N56*$B$21/30,IF($B$21&lt;60,N56*(2-$B$21/30)+M56*($B$21/30-1),IF($B$21&lt;=90,M56*(3-$B$21/30)+L56*($B$21/30-2),0)))</x:f>
        <x:v>684050</x:v>
      </x:c>
    </x:row>
    <x:row r="58" ht="20" customHeight="1">
      <x:c r="A58" s="4" t="str">
        <x:v>Closing trade payables</x:v>
      </x:c>
      <x:c r="B58" s="4"/>
      <x:c r="C58" s="4"/>
      <x:c r="D58" s="41" t="n">
        <x:f>0+D56-(IF($B$21&lt;30,D56*(1-$B$21/30)+0*$B$21/30,IF($B$21&lt;60,0*(2-$B$21/30)+0*($B$21/30-1),IF($B$21&lt;=90,0*(3-$B$21/30)+0*($B$21/30-2),0))))</x:f>
        <x:v>314500</x:v>
      </x:c>
      <x:c r="E58" s="41" t="n">
        <x:f>D58+E56-(IF($B$21&lt;30,E56*(1-$B$21/30)+D56*$B$21/30,IF($B$21&lt;60,D56*(2-$B$21/30)+0*($B$21/30-1),IF($B$21&lt;=90,0*(3-$B$21/30)+0*($B$21/30-2),0))))</x:f>
        <x:v>264350</x:v>
      </x:c>
      <x:c r="F58" s="41" t="n">
        <x:f>E58+F56-(IF($B$21&lt;30,F56*(1-$B$21/30)+E56*$B$21/30,IF($B$21&lt;60,E56*(2-$B$21/30)+D56*($B$21/30-1),IF($B$21&lt;=90,D56*(3-$B$21/30)+0*($B$21/30-2),0))))</x:f>
        <x:v>315350</x:v>
      </x:c>
      <x:c r="G58" s="41" t="n">
        <x:f>F58+G56-(IF($B$21&lt;30,G56*(1-$B$21/30)+F56*$B$21/30,IF($B$21&lt;60,F56*(2-$B$21/30)+E56*($B$21/30-1),IF($B$21&lt;=90,E56*(3-$B$21/30)+D56*($B$21/30-2),0))))</x:f>
        <x:v>334900</x:v>
      </x:c>
      <x:c r="H58" s="41" t="n">
        <x:f>G58+H56-(IF($B$21&lt;30,H56*(1-$B$21/30)+G56*$B$21/30,IF($B$21&lt;60,G56*(2-$B$21/30)+F56*($B$21/30-1),IF($B$21&lt;=90,F56*(3-$B$21/30)+E56*($B$21/30-2),0))))</x:f>
        <x:v>337450</x:v>
      </x:c>
      <x:c r="I58" s="41" t="n">
        <x:f>H58+I56-(IF($B$21&lt;30,I56*(1-$B$21/30)+H56*$B$21/30,IF($B$21&lt;60,H56*(2-$B$21/30)+G56*($B$21/30-1),IF($B$21&lt;=90,G56*(3-$B$21/30)+F56*($B$21/30-2),0))))</x:f>
        <x:v>354450</x:v>
      </x:c>
      <x:c r="J58" s="41" t="n">
        <x:f>I58+J56-(IF($B$21&lt;30,J56*(1-$B$21/30)+I56*$B$21/30,IF($B$21&lt;60,I56*(2-$B$21/30)+H56*($B$21/30-1),IF($B$21&lt;=90,H56*(3-$B$21/30)+G56*($B$21/30-2),0))))</x:f>
        <x:v>340000</x:v>
      </x:c>
      <x:c r="K58" s="41" t="n">
        <x:f>J58+K56-(IF($B$21&lt;30,K56*(1-$B$21/30)+J56*$B$21/30,IF($B$21&lt;60,J56*(2-$B$21/30)+I56*($B$21/30-1),IF($B$21&lt;=90,I56*(3-$B$21/30)+H56*($B$21/30-2),0))))</x:f>
        <x:v>371450</x:v>
      </x:c>
      <x:c r="L58" s="41" t="n">
        <x:f>K58+L56-(IF($B$21&lt;30,L56*(1-$B$21/30)+K56*$B$21/30,IF($B$21&lt;60,K56*(2-$B$21/30)+J56*($B$21/30-1),IF($B$21&lt;=90,J56*(3-$B$21/30)+I56*($B$21/30-2),0))))</x:f>
        <x:v>357000</x:v>
      </x:c>
      <x:c r="M58" s="41" t="n">
        <x:f>L58+M56-(IF($B$21&lt;30,M56*(1-$B$21/30)+L56*$B$21/30,IF($B$21&lt;60,L56*(2-$B$21/30)+K56*($B$21/30-1),IF($B$21&lt;=90,K56*(3-$B$21/30)+J56*($B$21/30-2),0))))</x:f>
        <x:v>388450</x:v>
      </x:c>
      <x:c r="N58" s="41" t="n">
        <x:f>M58+N56-(IF($B$21&lt;30,N56*(1-$B$21/30)+M56*$B$21/30,IF($B$21&lt;60,M56*(2-$B$21/30)+L56*($B$21/30-1),IF($B$21&lt;=90,L56*(3-$B$21/30)+K56*($B$21/30-2),0))))</x:f>
        <x:v>374000</x:v>
      </x:c>
      <x:c r="O58" s="41" t="n">
        <x:f>N58+O56-(IF($B$21&lt;30,O56*(1-$B$21/30)+N56*$B$21/30,IF($B$21&lt;60,N56*(2-$B$21/30)+M56*($B$21/30-1),IF($B$21&lt;=90,M56*(3-$B$21/30)+L56*($B$21/30-2),0))))</x:f>
        <x:v>405450</x:v>
      </x:c>
    </x:row>
    <x:row r="59" ht="20" customHeight="1">
      <x:c r="A59" s="60" t="str">
        <x:v>Operating cash before interest/tax</x:v>
      </x:c>
      <x:c r="B59" s="60"/>
      <x:c r="C59" s="60"/>
      <x:c r="D59" s="61" t="n">
        <x:f>D51-D57-D43</x:f>
        <x:v>-460500</x:v>
      </x:c>
      <x:c r="E59" s="61" t="n">
        <x:f>E51-E57-E43</x:f>
        <x:v>-286650</x:v>
      </x:c>
      <x:c r="F59" s="61" t="n">
        <x:f>F51-F57-F43</x:f>
        <x:v>-140500</x:v>
      </x:c>
      <x:c r="G59" s="61" t="n">
        <x:f>G51-G57-G43</x:f>
        <x:v>-71450</x:v>
      </x:c>
      <x:c r="H59" s="61" t="n">
        <x:f>H51-H57-H43</x:f>
        <x:v>-2950</x:v>
      </x:c>
      <x:c r="I59" s="61" t="n">
        <x:f>I51-I57-I43</x:f>
        <x:v>26500</x:v>
      </x:c>
      <x:c r="J59" s="61" t="n">
        <x:f>J51-J57-J43</x:f>
        <x:v>65550</x:v>
      </x:c>
      <x:c r="K59" s="61" t="n">
        <x:f>K51-K57-K43</x:f>
        <x:v>55950</x:v>
      </x:c>
      <x:c r="L59" s="61" t="n">
        <x:f>L51-L57-L43</x:f>
        <x:v>80550</x:v>
      </x:c>
      <x:c r="M59" s="61" t="n">
        <x:f>M51-M57-M43</x:f>
        <x:v>70950</x:v>
      </x:c>
      <x:c r="N59" s="61" t="n">
        <x:f>N51-N57-N43</x:f>
        <x:v>95550</x:v>
      </x:c>
      <x:c r="O59" s="61" t="n">
        <x:f>O51-O57-O43</x:f>
        <x:v>85950</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-460500</x:v>
      </x:c>
      <x:c r="E62" s="61" t="n">
        <x:f>E59-E47-E48-E60-E61</x:f>
        <x:v>-286650</x:v>
      </x:c>
      <x:c r="F62" s="61" t="n">
        <x:f>F59-F47-F48-F60-F61</x:f>
        <x:v>-140500</x:v>
      </x:c>
      <x:c r="G62" s="61" t="n">
        <x:f>G59-G47-G48-G60-G61</x:f>
        <x:v>-71450</x:v>
      </x:c>
      <x:c r="H62" s="61" t="n">
        <x:f>H59-H47-H48-H60-H61</x:f>
        <x:v>-2950</x:v>
      </x:c>
      <x:c r="I62" s="61" t="n">
        <x:f>I59-I47-I48-I60-I61</x:f>
        <x:v>26500</x:v>
      </x:c>
      <x:c r="J62" s="61" t="n">
        <x:f>J59-J47-J48-J60-J61</x:f>
        <x:v>65550</x:v>
      </x:c>
      <x:c r="K62" s="61" t="n">
        <x:f>K59-K47-K48-K60-K61</x:f>
        <x:v>55950</x:v>
      </x:c>
      <x:c r="L62" s="61" t="n">
        <x:f>L59-L47-L48-L60-L61</x:f>
        <x:v>80550</x:v>
      </x:c>
      <x:c r="M62" s="61" t="n">
        <x:f>M59-M47-M48-M60-M61</x:f>
        <x:v>70950</x:v>
      </x:c>
      <x:c r="N62" s="61" t="n">
        <x:f>N59-N47-N48-N60-N61</x:f>
        <x:v>95550</x:v>
      </x:c>
      <x:c r="O62" s="61" t="n">
        <x:f>O59-O47-O48-O60-O61</x:f>
        <x:v>85950</x:v>
      </x:c>
    </x:row>
    <x:row r="63" ht="20" customHeight="1">
      <x:c r="A63" s="4" t="str">
        <x:v>Opening cash</x:v>
      </x:c>
      <x:c r="B63" s="4"/>
      <x:c r="C63" s="4"/>
      <x:c r="D63" s="41" t="n">
        <x:f>$B$18</x:f>
        <x:v>650000</x:v>
      </x:c>
      <x:c r="E63" s="41" t="n">
        <x:f>D64</x:f>
        <x:v>189500</x:v>
      </x:c>
      <x:c r="F63" s="41" t="n">
        <x:f>E64</x:f>
        <x:v>-97150</x:v>
      </x:c>
      <x:c r="G63" s="41" t="n">
        <x:f>F64</x:f>
        <x:v>-237650</x:v>
      </x:c>
      <x:c r="H63" s="41" t="n">
        <x:f>G64</x:f>
        <x:v>-309100</x:v>
      </x:c>
      <x:c r="I63" s="41" t="n">
        <x:f>H64</x:f>
        <x:v>-312050</x:v>
      </x:c>
      <x:c r="J63" s="41" t="n">
        <x:f>I64</x:f>
        <x:v>-285550</x:v>
      </x:c>
      <x:c r="K63" s="41" t="n">
        <x:f>J64</x:f>
        <x:v>-220000</x:v>
      </x:c>
      <x:c r="L63" s="41" t="n">
        <x:f>K64</x:f>
        <x:v>-164050</x:v>
      </x:c>
      <x:c r="M63" s="41" t="n">
        <x:f>L64</x:f>
        <x:v>-83500</x:v>
      </x:c>
      <x:c r="N63" s="41" t="n">
        <x:f>M64</x:f>
        <x:v>-12550</x:v>
      </x:c>
      <x:c r="O63" s="41" t="n">
        <x:f>N64</x:f>
        <x:v>83000</x:v>
      </x:c>
    </x:row>
    <x:row r="64" ht="20" customHeight="1">
      <x:c r="A64" s="60" t="str">
        <x:v>Closing cash</x:v>
      </x:c>
      <x:c r="B64" s="60"/>
      <x:c r="C64" s="60"/>
      <x:c r="D64" s="61" t="n">
        <x:f>D63+D62</x:f>
        <x:v>189500</x:v>
      </x:c>
      <x:c r="E64" s="61" t="n">
        <x:f>E63+E62</x:f>
        <x:v>-97150</x:v>
      </x:c>
      <x:c r="F64" s="61" t="n">
        <x:f>F63+F62</x:f>
        <x:v>-237650</x:v>
      </x:c>
      <x:c r="G64" s="61" t="n">
        <x:f>G63+G62</x:f>
        <x:v>-309100</x:v>
      </x:c>
      <x:c r="H64" s="61" t="n">
        <x:f>H63+H62</x:f>
        <x:v>-312050</x:v>
      </x:c>
      <x:c r="I64" s="61" t="n">
        <x:f>I63+I62</x:f>
        <x:v>-285550</x:v>
      </x:c>
      <x:c r="J64" s="61" t="n">
        <x:f>J63+J62</x:f>
        <x:v>-220000</x:v>
      </x:c>
      <x:c r="K64" s="61" t="n">
        <x:f>K63+K62</x:f>
        <x:v>-164050</x:v>
      </x:c>
      <x:c r="L64" s="61" t="n">
        <x:f>L63+L62</x:f>
        <x:v>-83500</x:v>
      </x:c>
      <x:c r="M64" s="61" t="n">
        <x:f>M63+M62</x:f>
        <x:v>-12550</x:v>
      </x:c>
      <x:c r="N64" s="61" t="n">
        <x:f>N63+N62</x:f>
        <x:v>83000</x:v>
      </x:c>
      <x:c r="O64" s="61" t="n">
        <x:f>O63+O62</x:f>
        <x:v>168950</x:v>
      </x:c>
    </x:row>
    <x:row r="65" ht="20" customHeight="1">
      <x:c r="A65" s="60" t="str">
        <x:v>Additional funding if closing cash &lt; 0</x:v>
      </x:c>
      <x:c r="B65" s="60"/>
      <x:c r="C65" s="60"/>
      <x:c r="D65" s="61" t="n">
        <x:f>MAX(0,-D64)</x:f>
        <x:v>0</x:v>
      </x:c>
      <x:c r="E65" s="61" t="n">
        <x:f>MAX(0,-E64)</x:f>
        <x:v>97150</x:v>
      </x:c>
      <x:c r="F65" s="61" t="n">
        <x:f>MAX(0,-F64)</x:f>
        <x:v>237650</x:v>
      </x:c>
      <x:c r="G65" s="61" t="n">
        <x:f>MAX(0,-G64)</x:f>
        <x:v>309100</x:v>
      </x:c>
      <x:c r="H65" s="61" t="n">
        <x:f>MAX(0,-H64)</x:f>
        <x:v>312050</x:v>
      </x:c>
      <x:c r="I65" s="61" t="n">
        <x:f>MAX(0,-I64)</x:f>
        <x:v>285550</x:v>
      </x:c>
      <x:c r="J65" s="61" t="n">
        <x:f>MAX(0,-J64)</x:f>
        <x:v>220000</x:v>
      </x:c>
      <x:c r="K65" s="61" t="n">
        <x:f>MAX(0,-K64)</x:f>
        <x:v>164050</x:v>
      </x:c>
      <x:c r="L65" s="61" t="n">
        <x:f>MAX(0,-L64)</x:f>
        <x:v>83500</x:v>
      </x:c>
      <x:c r="M65" s="61" t="n">
        <x:f>MAX(0,-M64)</x:f>
        <x:v>12550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FUNDING GAP</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FUNDING GAP</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FUNDING GAP</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FUNDING GAP</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FUNDING GAP</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FUNDING GAP</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FUNDING GAP</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FUNDING GAP</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FUNDING GAP</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2100000</x:v>
      </x:c>
      <x:c r="C71" s="4"/>
      <x:c r="D71" s="2"/>
      <x:c r="E71" s="2"/>
      <x:c r="F71" s="2"/>
      <x:c r="G71" s="2"/>
      <x:c r="H71" s="2"/>
      <x:c r="I71" s="2"/>
      <x:c r="J71" s="2"/>
      <x:c r="K71" s="2"/>
      <x:c r="L71" s="2"/>
      <x:c r="M71" s="2"/>
      <x:c r="N71" s="2"/>
      <x:c r="O71" s="2"/>
    </x:row>
    <x:row r="72" ht="28" customHeight="1">
      <x:c r="A72" s="4" t="str">
        <x:v>Equity funding at startup</x:v>
      </x:c>
      <x:c r="B72" s="66" t="n">
        <x:f>MAX(0,SUM(B15:B18)-B23)</x:f>
        <x:v>2100000</x:v>
      </x:c>
      <x:c r="C72" s="4"/>
      <x:c r="D72" s="2"/>
      <x:c r="E72" s="2"/>
      <x:c r="F72" s="2"/>
      <x:c r="G72" s="2"/>
      <x:c r="H72" s="2"/>
      <x:c r="I72" s="2"/>
      <x:c r="J72" s="2"/>
      <x:c r="K72" s="2"/>
      <x:c r="L72" s="2"/>
      <x:c r="M72" s="2"/>
      <x:c r="N72" s="2"/>
      <x:c r="O72" s="2"/>
    </x:row>
    <x:row r="73" ht="28" customHeight="1">
      <x:c r="A73" s="4" t="str">
        <x:v>Steady monthly unit contribution</x:v>
      </x:c>
      <x:c r="B73" s="66" t="n">
        <x:f>B9*B26-B10*B27</x:f>
        <x:v>15</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14667</x:v>
      </x:c>
      <x:c r="C74" s="4"/>
      <x:c r="D74" s="2"/>
      <x:c r="E74" s="2"/>
      <x:c r="F74" s="2"/>
      <x:c r="G74" s="2"/>
      <x:c r="H74" s="2"/>
      <x:c r="I74" s="2"/>
      <x:c r="J74" s="2"/>
      <x:c r="K74" s="2"/>
      <x:c r="L74" s="2"/>
      <x:c r="M74" s="2"/>
      <x:c r="N74" s="2"/>
      <x:c r="O74" s="2"/>
    </x:row>
    <x:row r="75" ht="28" customHeight="1">
      <x:c r="A75" s="4" t="str">
        <x:v>Year-one operating cash profit</x:v>
      </x:c>
      <x:c r="B75" s="66" t="n">
        <x:f>SUM(D44:O44)</x:f>
        <x:v>735000</x:v>
      </x:c>
      <x:c r="C75" s="4"/>
      <x:c r="D75" s="2"/>
      <x:c r="E75" s="2"/>
      <x:c r="F75" s="2"/>
      <x:c r="G75" s="2"/>
      <x:c r="H75" s="2"/>
      <x:c r="I75" s="2"/>
      <x:c r="J75" s="2"/>
      <x:c r="K75" s="2"/>
      <x:c r="L75" s="2"/>
      <x:c r="M75" s="2"/>
      <x:c r="N75" s="2"/>
      <x:c r="O75" s="2"/>
    </x:row>
    <x:row r="76" ht="28" customHeight="1">
      <x:c r="A76" s="4" t="str">
        <x:v>Year-one minimum closing cash</x:v>
      </x:c>
      <x:c r="B76" s="66" t="n">
        <x:f>MIN(D64:O64)</x:f>
        <x:v>-312050</x:v>
      </x:c>
      <x:c r="C76" s="4"/>
      <x:c r="D76" s="2"/>
      <x:c r="E76" s="2"/>
      <x:c r="F76" s="2"/>
      <x:c r="G76" s="2"/>
      <x:c r="H76" s="2"/>
      <x:c r="I76" s="2"/>
      <x:c r="J76" s="2"/>
      <x:c r="K76" s="2"/>
      <x:c r="L76" s="2"/>
      <x:c r="M76" s="2"/>
      <x:c r="N76" s="2"/>
      <x:c r="O76" s="2"/>
    </x:row>
    <x:row r="77" ht="28" customHeight="1">
      <x:c r="A77" s="4" t="str">
        <x:v>Additional opening liquidity needed</x:v>
      </x:c>
      <x:c r="B77" s="66" t="n">
        <x:f>MAX(0,-MIN(D64:O64))</x:f>
        <x:v>312050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FUNDING GAP</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6" priority="1">
      <x:formula>D64&lt;0</x:formula>
    </x:cfRule>
  </x:conditionalFormatting>
  <x:conditionalFormatting sqref="D66:O66">
    <x:cfRule type="expression" dxfId="44" priority="2">
      <x:formula>D66&lt;&gt;"OK"</x:formula>
    </x:cfRule>
  </x:conditionalFormatting>
  <x:pageMargins left="0.7" right="0.7" top="0.75" bottom="0.75" header="0.3" footer="0.3"/>
  <x:drawing xmlns:r="http://schemas.openxmlformats.org/officeDocument/2006/relationships" r:id="Rc27ed793cf104240"/>
  <x:legacyDrawing xmlns:r="http://schemas.openxmlformats.org/officeDocument/2006/relationships" r:id="R7ef67ea0d57144f9"/>
</x:worksheet>
</file>

<file path=xl/worksheets/sheet9.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PCJ-23 | Retail Pharmacy &amp; Jan Aushadhi</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ILLUSTRATIVE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931508</x:v>
      </x:c>
      <x:c r="G7" s="2"/>
      <x:c r="H7" s="2"/>
      <x:c r="I7" s="2"/>
      <x:c r="J7" s="2"/>
      <x:c r="K7" s="2"/>
      <x:c r="L7" s="2"/>
      <x:c r="M7" s="2"/>
      <x:c r="N7" s="2"/>
      <x:c r="O7" s="2"/>
    </x:row>
    <x:row r="8" ht="38" customHeight="1">
      <x:c r="A8" s="90" t="str">
        <x:v>Base monthly units</x:v>
      </x:c>
      <x:c r="B8" s="106" t="n">
        <x:v>3000</x:v>
      </x:c>
      <x:c r="C8" s="90" t="str">
        <x:v>Billable output, not leads or maximum capacity.</x:v>
      </x:c>
      <x:c r="D8" s="2"/>
      <x:c r="E8" s="2" t="n">
        <x:v>2</x:v>
      </x:c>
      <x:c r="F8" s="40" t="n">
        <x:f>E64</x:f>
        <x:v>435352.4</x:v>
      </x:c>
      <x:c r="G8" s="2"/>
      <x:c r="H8" s="2"/>
      <x:c r="I8" s="2"/>
      <x:c r="J8" s="2"/>
      <x:c r="K8" s="2"/>
      <x:c r="L8" s="2"/>
      <x:c r="M8" s="2"/>
      <x:c r="N8" s="2"/>
      <x:c r="O8" s="2"/>
    </x:row>
    <x:row r="9" ht="38" customHeight="1">
      <x:c r="A9" s="90" t="str">
        <x:v>Net realised price / unit (INR)</x:v>
      </x:c>
      <x:c r="B9" s="106" t="n">
        <x:v>350</x:v>
      </x:c>
      <x:c r="C9" s="90" t="str">
        <x:v>Excludes GST; net of commercial reductions.</x:v>
      </x:c>
      <x:c r="D9" s="2"/>
      <x:c r="E9" s="2" t="n">
        <x:v>3</x:v>
      </x:c>
      <x:c r="F9" s="40" t="n">
        <x:f>F64</x:f>
        <x:v>377122.4</x:v>
      </x:c>
      <x:c r="G9" s="2"/>
      <x:c r="H9" s="2"/>
      <x:c r="I9" s="2"/>
      <x:c r="J9" s="2"/>
      <x:c r="K9" s="2"/>
      <x:c r="L9" s="2"/>
      <x:c r="M9" s="2"/>
      <x:c r="N9" s="2"/>
      <x:c r="O9" s="2"/>
    </x:row>
    <x:row r="10" ht="38" customHeight="1">
      <x:c r="A10" s="90" t="str">
        <x:v>Variable cash cost / unit (INR)</x:v>
      </x:c>
      <x:c r="B10" s="106" t="n">
        <x:v>280</x:v>
      </x:c>
      <x:c r="C10" s="90" t="str">
        <x:v>Include expected direct rework/returns where relevant.</x:v>
      </x:c>
      <x:c r="D10" s="2"/>
      <x:c r="E10" s="2" t="n">
        <x:v>4</x:v>
      </x:c>
      <x:c r="F10" s="40" t="n">
        <x:f>G64</x:f>
        <x:v>307241.6</x:v>
      </x:c>
      <x:c r="G10" s="2"/>
      <x:c r="H10" s="2"/>
      <x:c r="I10" s="2"/>
      <x:c r="J10" s="2"/>
      <x:c r="K10" s="2"/>
      <x:c r="L10" s="2"/>
      <x:c r="M10" s="2"/>
      <x:c r="N10" s="2"/>
      <x:c r="O10" s="2"/>
    </x:row>
    <x:row r="11" ht="38" customHeight="1">
      <x:c r="A11" s="90" t="str">
        <x:v>Fixed monthly cash cost (INR)</x:v>
      </x:c>
      <x:c r="B11" s="106" t="n">
        <x:v>150000</x:v>
      </x:c>
      <x:c r="C11" s="90" t="str">
        <x:v>Include supervision and realistic owner-replacement cost.</x:v>
      </x:c>
      <x:c r="D11" s="2"/>
      <x:c r="E11" s="2" t="n">
        <x:v>5</x:v>
      </x:c>
      <x:c r="F11" s="40" t="n">
        <x:f>H64</x:f>
        <x:v>273270.79999999993</x:v>
      </x:c>
      <x:c r="G11" s="2"/>
      <x:c r="H11" s="2"/>
      <x:c r="I11" s="2"/>
      <x:c r="J11" s="2"/>
      <x:c r="K11" s="2"/>
      <x:c r="L11" s="2"/>
      <x:c r="M11" s="2"/>
      <x:c r="N11" s="2"/>
      <x:c r="O11" s="2"/>
    </x:row>
    <x:row r="12" ht="38" customHeight="1">
      <x:c r="A12" s="90" t="str">
        <x:v>Safe / saleable monthly capacity</x:v>
      </x:c>
      <x:c r="B12" s="106" t="n">
        <x:v>6000</x:v>
      </x:c>
      <x:c r="C12" s="90" t="str">
        <x:v>Planning input; does not certify safe technical capacity.</x:v>
      </x:c>
      <x:c r="D12" s="2"/>
      <x:c r="E12" s="2" t="n">
        <x:v>6</x:v>
      </x:c>
      <x:c r="F12" s="40" t="n">
        <x:f>I64</x:f>
        <x:v>307860.79999999993</x:v>
      </x:c>
      <x:c r="G12" s="2"/>
      <x:c r="H12" s="2"/>
      <x:c r="I12" s="2"/>
      <x:c r="J12" s="2"/>
      <x:c r="K12" s="2"/>
      <x:c r="L12" s="2"/>
      <x:c r="M12" s="2"/>
      <x:c r="N12" s="2"/>
      <x:c r="O12" s="2"/>
    </x:row>
    <x:row r="13" ht="38" customHeight="1">
      <x:c r="A13" s="90" t="str">
        <x:v>Inventory-eligible share of variable cost</x:v>
      </x:c>
      <x:c r="B13" s="107" t="n">
        <x:v>0.96</x:v>
      </x:c>
      <x:c r="C13" s="90" t="str">
        <x:v>Only this share drives modelled inventory.</x:v>
      </x:c>
      <x:c r="D13" s="2"/>
      <x:c r="E13" s="2" t="n">
        <x:v>7</x:v>
      </x:c>
      <x:c r="F13" s="40" t="n">
        <x:f>J64</x:f>
        <x:v>309800</x:v>
      </x:c>
      <x:c r="G13" s="2"/>
      <x:c r="H13" s="2"/>
      <x:c r="I13" s="2"/>
      <x:c r="J13" s="2"/>
      <x:c r="K13" s="2"/>
      <x:c r="L13" s="2"/>
      <x:c r="M13" s="2"/>
      <x:c r="N13" s="2"/>
      <x:c r="O13" s="2"/>
    </x:row>
    <x:row r="14" ht="38" customHeight="1">
      <x:c r="A14" s="90" t="str">
        <x:v>Supplier-credit share of purchases</x:v>
      </x:c>
      <x:c r="B14" s="107" t="n">
        <x:v>0.96</x:v>
      </x:c>
      <x:c r="C14" s="90" t="str">
        <x:v>Other costs are paid currently; do not defer payroll unlawfully.</x:v>
      </x:c>
      <x:c r="D14" s="2"/>
      <x:c r="E14" s="2" t="n">
        <x:v>8</x:v>
      </x:c>
      <x:c r="F14" s="40" t="n">
        <x:f>K64</x:f>
        <x:v>412950.79999999993</x:v>
      </x:c>
      <x:c r="G14" s="2"/>
      <x:c r="H14" s="2"/>
      <x:c r="I14" s="2"/>
      <x:c r="J14" s="2"/>
      <x:c r="K14" s="2"/>
      <x:c r="L14" s="2"/>
      <x:c r="M14" s="2"/>
      <x:c r="N14" s="2"/>
      <x:c r="O14" s="2"/>
    </x:row>
    <x:row r="15" ht="38" customHeight="1">
      <x:c r="A15" s="90" t="str">
        <x:v>Initial installed assets (INR)</x:v>
      </x:c>
      <x:c r="B15" s="106" t="n">
        <x:v>450000</x:v>
      </x:c>
      <x:c r="C15" s="90" t="str">
        <x:v>Initial capex; further capex has a separate monthly row.</x:v>
      </x:c>
      <x:c r="D15" s="2"/>
      <x:c r="E15" s="2" t="n">
        <x:v>9</x:v>
      </x:c>
      <x:c r="F15" s="40" t="n">
        <x:f>L64</x:f>
        <x:v>425390</x:v>
      </x:c>
      <x:c r="G15" s="2"/>
      <x:c r="H15" s="2"/>
      <x:c r="I15" s="2"/>
      <x:c r="J15" s="2"/>
      <x:c r="K15" s="2"/>
      <x:c r="L15" s="2"/>
      <x:c r="M15" s="2"/>
      <x:c r="N15" s="2"/>
      <x:c r="O15" s="2"/>
    </x:row>
    <x:row r="16" ht="38" customHeight="1">
      <x:c r="A16" s="90" t="str">
        <x:v>Refundable startup deposits (INR)</x:v>
      </x:c>
      <x:c r="B16" s="106" t="n">
        <x:v>180000</x:v>
      </x:c>
      <x:c r="C16" s="90" t="str">
        <x:v>Cash funding, not immediate operating expense.</x:v>
      </x:c>
      <x:c r="D16" s="2"/>
      <x:c r="E16" s="2" t="n">
        <x:v>10</x:v>
      </x:c>
      <x:c r="F16" s="40" t="n">
        <x:f>M64</x:f>
        <x:v>539040.7999999999</x:v>
      </x:c>
      <x:c r="G16" s="2"/>
      <x:c r="H16" s="2"/>
      <x:c r="I16" s="2"/>
      <x:c r="J16" s="2"/>
      <x:c r="K16" s="2"/>
      <x:c r="L16" s="2"/>
      <x:c r="M16" s="2"/>
      <x:c r="N16" s="2"/>
      <x:c r="O16" s="2"/>
    </x:row>
    <x:row r="17" ht="38" customHeight="1">
      <x:c r="A17" s="90" t="str">
        <x:v>Pre-opening expense (INR)</x:v>
      </x:c>
      <x:c r="B17" s="106" t="n">
        <x:v>120000</x:v>
      </x:c>
      <x:c r="C17" s="90" t="str">
        <x:v>Before month 1; excluded from forecast EBITDA.</x:v>
      </x:c>
      <x:c r="D17" s="2"/>
      <x:c r="E17" s="2" t="n">
        <x:v>11</x:v>
      </x:c>
      <x:c r="F17" s="40" t="n">
        <x:f>N64</x:f>
        <x:v>561980</x:v>
      </x:c>
      <x:c r="G17" s="2"/>
      <x:c r="H17" s="2"/>
      <x:c r="I17" s="2"/>
      <x:c r="J17" s="2"/>
      <x:c r="K17" s="2"/>
      <x:c r="L17" s="2"/>
      <x:c r="M17" s="2"/>
      <x:c r="N17" s="2"/>
      <x:c r="O17" s="2"/>
    </x:row>
    <x:row r="18" ht="38" customHeight="1">
      <x:c r="A18" s="90" t="str">
        <x:v>Opening cash reserve (INR)</x:v>
      </x:c>
      <x:c r="B18" s="106" t="n">
        <x:v>650000</x:v>
      </x:c>
      <x:c r="C18" s="90" t="str">
        <x:v>May be insufficient: review minimum closing cash.</x:v>
      </x:c>
      <x:c r="D18" s="2"/>
      <x:c r="E18" s="2" t="n">
        <x:v>12</x:v>
      </x:c>
      <x:c r="F18" s="40" t="n">
        <x:f>O64</x:f>
        <x:v>686130.7999999999</x:v>
      </x:c>
      <x:c r="G18" s="2"/>
      <x:c r="H18" s="2"/>
      <x:c r="I18" s="2"/>
      <x:c r="J18" s="2"/>
      <x:c r="K18" s="2"/>
      <x:c r="L18" s="2"/>
      <x:c r="M18" s="2"/>
      <x:c r="N18" s="2"/>
      <x:c r="O18" s="2"/>
    </x:row>
    <x:row r="19" ht="38" customHeight="1">
      <x:c r="A19" s="90" t="str">
        <x:v>Collection lag (days; 0–90)</x:v>
      </x:c>
      <x:c r="B19" s="108" t="n">
        <x:v>3</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45</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30</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5</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customer baskets.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1500</x:v>
      </x:c>
      <x:c r="E36" s="41" t="n">
        <x:f>ROUND($B$8*E35*$B$25,0)</x:f>
        <x:v>1950</x:v>
      </x:c>
      <x:c r="F36" s="41" t="n">
        <x:f>ROUND($B$8*F35*$B$25,0)</x:f>
        <x:v>2400</x:v>
      </x:c>
      <x:c r="G36" s="41" t="n">
        <x:f>ROUND($B$8*G35*$B$25,0)</x:f>
        <x:v>2700</x:v>
      </x:c>
      <x:c r="H36" s="41" t="n">
        <x:f>ROUND($B$8*H35*$B$25,0)</x:f>
        <x:v>2850</x:v>
      </x:c>
      <x:c r="I36" s="41" t="n">
        <x:f>ROUND($B$8*I35*$B$25,0)</x:f>
        <x:v>3000</x:v>
      </x:c>
      <x:c r="J36" s="41" t="n">
        <x:f>ROUND($B$8*J35*$B$25,0)</x:f>
        <x:v>3000</x:v>
      </x:c>
      <x:c r="K36" s="41" t="n">
        <x:f>ROUND($B$8*K35*$B$25,0)</x:f>
        <x:v>3150</x:v>
      </x:c>
      <x:c r="L36" s="41" t="n">
        <x:f>ROUND($B$8*L35*$B$25,0)</x:f>
        <x:v>3150</x:v>
      </x:c>
      <x:c r="M36" s="41" t="n">
        <x:f>ROUND($B$8*M35*$B$25,0)</x:f>
        <x:v>3300</x:v>
      </x:c>
      <x:c r="N36" s="41" t="n">
        <x:f>ROUND($B$8*N35*$B$25,0)</x:f>
        <x:v>3300</x:v>
      </x:c>
      <x:c r="O36" s="41" t="n">
        <x:f>ROUND($B$8*O35*$B$25,0)</x:f>
        <x:v>3450</x:v>
      </x:c>
    </x:row>
    <x:row r="37" ht="20" customHeight="1">
      <x:c r="A37" s="4" t="str">
        <x:v>Safe / saleable capacity</x:v>
      </x:c>
      <x:c r="B37" s="4"/>
      <x:c r="C37" s="4"/>
      <x:c r="D37" s="41" t="n">
        <x:f>$B$12</x:f>
        <x:v>6000</x:v>
      </x:c>
      <x:c r="E37" s="41" t="n">
        <x:f>$B$12</x:f>
        <x:v>6000</x:v>
      </x:c>
      <x:c r="F37" s="41" t="n">
        <x:f>$B$12</x:f>
        <x:v>6000</x:v>
      </x:c>
      <x:c r="G37" s="41" t="n">
        <x:f>$B$12</x:f>
        <x:v>6000</x:v>
      </x:c>
      <x:c r="H37" s="41" t="n">
        <x:f>$B$12</x:f>
        <x:v>6000</x:v>
      </x:c>
      <x:c r="I37" s="41" t="n">
        <x:f>$B$12</x:f>
        <x:v>6000</x:v>
      </x:c>
      <x:c r="J37" s="41" t="n">
        <x:f>$B$12</x:f>
        <x:v>6000</x:v>
      </x:c>
      <x:c r="K37" s="41" t="n">
        <x:f>$B$12</x:f>
        <x:v>6000</x:v>
      </x:c>
      <x:c r="L37" s="41" t="n">
        <x:f>$B$12</x:f>
        <x:v>6000</x:v>
      </x:c>
      <x:c r="M37" s="41" t="n">
        <x:f>$B$12</x:f>
        <x:v>6000</x:v>
      </x:c>
      <x:c r="N37" s="41" t="n">
        <x:f>$B$12</x:f>
        <x:v>6000</x:v>
      </x:c>
      <x:c r="O37" s="41" t="n">
        <x:f>$B$12</x:f>
        <x:v>6000</x:v>
      </x:c>
    </x:row>
    <x:row r="38" ht="20" customHeight="1">
      <x:c r="A38" s="4" t="str">
        <x:v>Capacity utilisation</x:v>
      </x:c>
      <x:c r="B38" s="4"/>
      <x:c r="C38" s="4"/>
      <x:c r="D38" s="46" t="n">
        <x:f>IF(D37&gt;0,D36/D37,0)</x:f>
        <x:v>0.25</x:v>
      </x:c>
      <x:c r="E38" s="46" t="n">
        <x:f>IF(E37&gt;0,E36/E37,0)</x:f>
        <x:v>0.325</x:v>
      </x:c>
      <x:c r="F38" s="46" t="n">
        <x:f>IF(F37&gt;0,F36/F37,0)</x:f>
        <x:v>0.4</x:v>
      </x:c>
      <x:c r="G38" s="46" t="n">
        <x:f>IF(G37&gt;0,G36/G37,0)</x:f>
        <x:v>0.45</x:v>
      </x:c>
      <x:c r="H38" s="46" t="n">
        <x:f>IF(H37&gt;0,H36/H37,0)</x:f>
        <x:v>0.475</x:v>
      </x:c>
      <x:c r="I38" s="46" t="n">
        <x:f>IF(I37&gt;0,I36/I37,0)</x:f>
        <x:v>0.5</x:v>
      </x:c>
      <x:c r="J38" s="46" t="n">
        <x:f>IF(J37&gt;0,J36/J37,0)</x:f>
        <x:v>0.5</x:v>
      </x:c>
      <x:c r="K38" s="46" t="n">
        <x:f>IF(K37&gt;0,K36/K37,0)</x:f>
        <x:v>0.525</x:v>
      </x:c>
      <x:c r="L38" s="46" t="n">
        <x:f>IF(L37&gt;0,L36/L37,0)</x:f>
        <x:v>0.525</x:v>
      </x:c>
      <x:c r="M38" s="46" t="n">
        <x:f>IF(M37&gt;0,M36/M37,0)</x:f>
        <x:v>0.55</x:v>
      </x:c>
      <x:c r="N38" s="46" t="n">
        <x:f>IF(N37&gt;0,N36/N37,0)</x:f>
        <x:v>0.55</x:v>
      </x:c>
      <x:c r="O38" s="46" t="n">
        <x:f>IF(O37&gt;0,O36/O37,0)</x:f>
        <x:v>0.575</x:v>
      </x:c>
    </x:row>
    <x:row r="39" ht="20" customHeight="1">
      <x:c r="A39" s="4" t="str">
        <x:v>Net realised unit price</x:v>
      </x:c>
      <x:c r="B39" s="4"/>
      <x:c r="C39" s="4"/>
      <x:c r="D39" s="41" t="n">
        <x:f>$B$9*$B$26</x:f>
        <x:v>350</x:v>
      </x:c>
      <x:c r="E39" s="41" t="n">
        <x:f>$B$9*$B$26</x:f>
        <x:v>350</x:v>
      </x:c>
      <x:c r="F39" s="41" t="n">
        <x:f>$B$9*$B$26</x:f>
        <x:v>350</x:v>
      </x:c>
      <x:c r="G39" s="41" t="n">
        <x:f>$B$9*$B$26</x:f>
        <x:v>350</x:v>
      </x:c>
      <x:c r="H39" s="41" t="n">
        <x:f>$B$9*$B$26</x:f>
        <x:v>350</x:v>
      </x:c>
      <x:c r="I39" s="41" t="n">
        <x:f>$B$9*$B$26</x:f>
        <x:v>350</x:v>
      </x:c>
      <x:c r="J39" s="41" t="n">
        <x:f>$B$9*$B$26</x:f>
        <x:v>350</x:v>
      </x:c>
      <x:c r="K39" s="41" t="n">
        <x:f>$B$9*$B$26</x:f>
        <x:v>350</x:v>
      </x:c>
      <x:c r="L39" s="41" t="n">
        <x:f>$B$9*$B$26</x:f>
        <x:v>350</x:v>
      </x:c>
      <x:c r="M39" s="41" t="n">
        <x:f>$B$9*$B$26</x:f>
        <x:v>350</x:v>
      </x:c>
      <x:c r="N39" s="41" t="n">
        <x:f>$B$9*$B$26</x:f>
        <x:v>350</x:v>
      </x:c>
      <x:c r="O39" s="41" t="n">
        <x:f>$B$9*$B$26</x:f>
        <x:v>350</x:v>
      </x:c>
    </x:row>
    <x:row r="40" ht="20" customHeight="1">
      <x:c r="A40" s="60" t="str">
        <x:v>Revenue, excluding GST</x:v>
      </x:c>
      <x:c r="B40" s="60"/>
      <x:c r="C40" s="60"/>
      <x:c r="D40" s="61" t="n">
        <x:f>D36*D39</x:f>
        <x:v>525000</x:v>
      </x:c>
      <x:c r="E40" s="61" t="n">
        <x:f>E36*E39</x:f>
        <x:v>682500</x:v>
      </x:c>
      <x:c r="F40" s="61" t="n">
        <x:f>F36*F39</x:f>
        <x:v>840000</x:v>
      </x:c>
      <x:c r="G40" s="61" t="n">
        <x:f>G36*G39</x:f>
        <x:v>945000</x:v>
      </x:c>
      <x:c r="H40" s="61" t="n">
        <x:f>H36*H39</x:f>
        <x:v>997500</x:v>
      </x:c>
      <x:c r="I40" s="61" t="n">
        <x:f>I36*I39</x:f>
        <x:v>1050000</x:v>
      </x:c>
      <x:c r="J40" s="61" t="n">
        <x:f>J36*J39</x:f>
        <x:v>1050000</x:v>
      </x:c>
      <x:c r="K40" s="61" t="n">
        <x:f>K36*K39</x:f>
        <x:v>1102500</x:v>
      </x:c>
      <x:c r="L40" s="61" t="n">
        <x:f>L36*L39</x:f>
        <x:v>1102500</x:v>
      </x:c>
      <x:c r="M40" s="61" t="n">
        <x:f>M36*M39</x:f>
        <x:v>1155000</x:v>
      </x:c>
      <x:c r="N40" s="61" t="n">
        <x:f>N36*N39</x:f>
        <x:v>1155000</x:v>
      </x:c>
      <x:c r="O40" s="61" t="n">
        <x:f>O36*O39</x:f>
        <x:v>1207500</x:v>
      </x:c>
    </x:row>
    <x:row r="41" ht="20" customHeight="1">
      <x:c r="A41" s="4" t="str">
        <x:v>Variable cash cost</x:v>
      </x:c>
      <x:c r="B41" s="4"/>
      <x:c r="C41" s="4"/>
      <x:c r="D41" s="41" t="n">
        <x:f>D36*$B$10*$B$27</x:f>
        <x:v>420000</x:v>
      </x:c>
      <x:c r="E41" s="41" t="n">
        <x:f>E36*$B$10*$B$27</x:f>
        <x:v>546000</x:v>
      </x:c>
      <x:c r="F41" s="41" t="n">
        <x:f>F36*$B$10*$B$27</x:f>
        <x:v>672000</x:v>
      </x:c>
      <x:c r="G41" s="41" t="n">
        <x:f>G36*$B$10*$B$27</x:f>
        <x:v>756000</x:v>
      </x:c>
      <x:c r="H41" s="41" t="n">
        <x:f>H36*$B$10*$B$27</x:f>
        <x:v>798000</x:v>
      </x:c>
      <x:c r="I41" s="41" t="n">
        <x:f>I36*$B$10*$B$27</x:f>
        <x:v>840000</x:v>
      </x:c>
      <x:c r="J41" s="41" t="n">
        <x:f>J36*$B$10*$B$27</x:f>
        <x:v>840000</x:v>
      </x:c>
      <x:c r="K41" s="41" t="n">
        <x:f>K36*$B$10*$B$27</x:f>
        <x:v>882000</x:v>
      </x:c>
      <x:c r="L41" s="41" t="n">
        <x:f>L36*$B$10*$B$27</x:f>
        <x:v>882000</x:v>
      </x:c>
      <x:c r="M41" s="41" t="n">
        <x:f>M36*$B$10*$B$27</x:f>
        <x:v>924000</x:v>
      </x:c>
      <x:c r="N41" s="41" t="n">
        <x:f>N36*$B$10*$B$27</x:f>
        <x:v>924000</x:v>
      </x:c>
      <x:c r="O41" s="41" t="n">
        <x:f>O36*$B$10*$B$27</x:f>
        <x:v>966000</x:v>
      </x:c>
    </x:row>
    <x:row r="42" ht="20" customHeight="1">
      <x:c r="A42" s="4" t="str">
        <x:v>Contribution</x:v>
      </x:c>
      <x:c r="B42" s="4"/>
      <x:c r="C42" s="4"/>
      <x:c r="D42" s="41" t="n">
        <x:f>D40-D41</x:f>
        <x:v>105000</x:v>
      </x:c>
      <x:c r="E42" s="41" t="n">
        <x:f>E40-E41</x:f>
        <x:v>136500</x:v>
      </x:c>
      <x:c r="F42" s="41" t="n">
        <x:f>F40-F41</x:f>
        <x:v>168000</x:v>
      </x:c>
      <x:c r="G42" s="41" t="n">
        <x:f>G40-G41</x:f>
        <x:v>189000</x:v>
      </x:c>
      <x:c r="H42" s="41" t="n">
        <x:f>H40-H41</x:f>
        <x:v>199500</x:v>
      </x:c>
      <x:c r="I42" s="41" t="n">
        <x:f>I40-I41</x:f>
        <x:v>210000</x:v>
      </x:c>
      <x:c r="J42" s="41" t="n">
        <x:f>J40-J41</x:f>
        <x:v>210000</x:v>
      </x:c>
      <x:c r="K42" s="41" t="n">
        <x:f>K40-K41</x:f>
        <x:v>220500</x:v>
      </x:c>
      <x:c r="L42" s="41" t="n">
        <x:f>L40-L41</x:f>
        <x:v>220500</x:v>
      </x:c>
      <x:c r="M42" s="41" t="n">
        <x:f>M40-M41</x:f>
        <x:v>231000</x:v>
      </x:c>
      <x:c r="N42" s="41" t="n">
        <x:f>N40-N41</x:f>
        <x:v>231000</x:v>
      </x:c>
      <x:c r="O42" s="41" t="n">
        <x:f>O40-O41</x:f>
        <x:v>241500</x:v>
      </x:c>
    </x:row>
    <x:row r="43" ht="20" customHeight="1">
      <x:c r="A43" s="4" t="str">
        <x:v>Fixed cash cost</x:v>
      </x:c>
      <x:c r="B43" s="4"/>
      <x:c r="C43" s="4"/>
      <x:c r="D43" s="41" t="n">
        <x:f>$B$11*$B$28</x:f>
        <x:v>150000</x:v>
      </x:c>
      <x:c r="E43" s="41" t="n">
        <x:f>$B$11*$B$28</x:f>
        <x:v>150000</x:v>
      </x:c>
      <x:c r="F43" s="41" t="n">
        <x:f>$B$11*$B$28</x:f>
        <x:v>150000</x:v>
      </x:c>
      <x:c r="G43" s="41" t="n">
        <x:f>$B$11*$B$28</x:f>
        <x:v>150000</x:v>
      </x:c>
      <x:c r="H43" s="41" t="n">
        <x:f>$B$11*$B$28</x:f>
        <x:v>150000</x:v>
      </x:c>
      <x:c r="I43" s="41" t="n">
        <x:f>$B$11*$B$28</x:f>
        <x:v>150000</x:v>
      </x:c>
      <x:c r="J43" s="41" t="n">
        <x:f>$B$11*$B$28</x:f>
        <x:v>150000</x:v>
      </x:c>
      <x:c r="K43" s="41" t="n">
        <x:f>$B$11*$B$28</x:f>
        <x:v>150000</x:v>
      </x:c>
      <x:c r="L43" s="41" t="n">
        <x:f>$B$11*$B$28</x:f>
        <x:v>150000</x:v>
      </x:c>
      <x:c r="M43" s="41" t="n">
        <x:f>$B$11*$B$28</x:f>
        <x:v>150000</x:v>
      </x:c>
      <x:c r="N43" s="41" t="n">
        <x:f>$B$11*$B$28</x:f>
        <x:v>150000</x:v>
      </x:c>
      <x:c r="O43" s="41" t="n">
        <x:f>$B$11*$B$28</x:f>
        <x:v>150000</x:v>
      </x:c>
    </x:row>
    <x:row r="44" ht="20" customHeight="1">
      <x:c r="A44" s="60" t="str">
        <x:v>Operating cash profit (EBITDA)</x:v>
      </x:c>
      <x:c r="B44" s="60"/>
      <x:c r="C44" s="60"/>
      <x:c r="D44" s="61" t="n">
        <x:f>D42-D43</x:f>
        <x:v>-45000</x:v>
      </x:c>
      <x:c r="E44" s="61" t="n">
        <x:f>E42-E43</x:f>
        <x:v>-13500</x:v>
      </x:c>
      <x:c r="F44" s="61" t="n">
        <x:f>F42-F43</x:f>
        <x:v>18000</x:v>
      </x:c>
      <x:c r="G44" s="61" t="n">
        <x:f>G42-G43</x:f>
        <x:v>39000</x:v>
      </x:c>
      <x:c r="H44" s="61" t="n">
        <x:f>H42-H43</x:f>
        <x:v>49500</x:v>
      </x:c>
      <x:c r="I44" s="61" t="n">
        <x:f>I42-I43</x:f>
        <x:v>60000</x:v>
      </x:c>
      <x:c r="J44" s="61" t="n">
        <x:f>J42-J43</x:f>
        <x:v>60000</x:v>
      </x:c>
      <x:c r="K44" s="61" t="n">
        <x:f>K42-K43</x:f>
        <x:v>70500</x:v>
      </x:c>
      <x:c r="L44" s="61" t="n">
        <x:f>L42-L43</x:f>
        <x:v>70500</x:v>
      </x:c>
      <x:c r="M44" s="61" t="n">
        <x:f>M42-M43</x:f>
        <x:v>81000</x:v>
      </x:c>
      <x:c r="N44" s="61" t="n">
        <x:f>N42-N43</x:f>
        <x:v>81000</x:v>
      </x:c>
      <x:c r="O44" s="61" t="n">
        <x:f>O42-O43</x:f>
        <x:v>91500</x:v>
      </x:c>
    </x:row>
    <x:row r="45" ht="20" customHeight="1">
      <x:c r="A45" s="4" t="str">
        <x:v>Illustrative depreciation</x:v>
      </x:c>
      <x:c r="B45" s="4"/>
      <x:c r="C45" s="4"/>
      <x:c r="D45" s="41" t="n">
        <x:f>IF($B$22&gt;0,$B$15/$B$22/12,0)</x:f>
        <x:v>7500</x:v>
      </x:c>
      <x:c r="E45" s="41" t="n">
        <x:f>IF($B$22&gt;0,$B$15/$B$22/12,0)</x:f>
        <x:v>7500</x:v>
      </x:c>
      <x:c r="F45" s="41" t="n">
        <x:f>IF($B$22&gt;0,$B$15/$B$22/12,0)</x:f>
        <x:v>7500</x:v>
      </x:c>
      <x:c r="G45" s="41" t="n">
        <x:f>IF($B$22&gt;0,$B$15/$B$22/12,0)</x:f>
        <x:v>7500</x:v>
      </x:c>
      <x:c r="H45" s="41" t="n">
        <x:f>IF($B$22&gt;0,$B$15/$B$22/12,0)</x:f>
        <x:v>7500</x:v>
      </x:c>
      <x:c r="I45" s="41" t="n">
        <x:f>IF($B$22&gt;0,$B$15/$B$22/12,0)</x:f>
        <x:v>7500</x:v>
      </x:c>
      <x:c r="J45" s="41" t="n">
        <x:f>IF($B$22&gt;0,$B$15/$B$22/12,0)</x:f>
        <x:v>7500</x:v>
      </x:c>
      <x:c r="K45" s="41" t="n">
        <x:f>IF($B$22&gt;0,$B$15/$B$22/12,0)</x:f>
        <x:v>7500</x:v>
      </x:c>
      <x:c r="L45" s="41" t="n">
        <x:f>IF($B$22&gt;0,$B$15/$B$22/12,0)</x:f>
        <x:v>7500</x:v>
      </x:c>
      <x:c r="M45" s="41" t="n">
        <x:f>IF($B$22&gt;0,$B$15/$B$22/12,0)</x:f>
        <x:v>7500</x:v>
      </x:c>
      <x:c r="N45" s="41" t="n">
        <x:f>IF($B$22&gt;0,$B$15/$B$22/12,0)</x:f>
        <x:v>7500</x:v>
      </x:c>
      <x:c r="O45" s="41" t="n">
        <x:f>IF($B$22&gt;0,$B$15/$B$22/12,0)</x:f>
        <x:v>7500</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-52500</x:v>
      </x:c>
      <x:c r="E50" s="61" t="n">
        <x:f>E44-E45-E47</x:f>
        <x:v>-21000</x:v>
      </x:c>
      <x:c r="F50" s="61" t="n">
        <x:f>F44-F45-F47</x:f>
        <x:v>10500</x:v>
      </x:c>
      <x:c r="G50" s="61" t="n">
        <x:f>G44-G45-G47</x:f>
        <x:v>31500</x:v>
      </x:c>
      <x:c r="H50" s="61" t="n">
        <x:f>H44-H45-H47</x:f>
        <x:v>42000</x:v>
      </x:c>
      <x:c r="I50" s="61" t="n">
        <x:f>I44-I45-I47</x:f>
        <x:v>52500</x:v>
      </x:c>
      <x:c r="J50" s="61" t="n">
        <x:f>J44-J45-J47</x:f>
        <x:v>52500</x:v>
      </x:c>
      <x:c r="K50" s="61" t="n">
        <x:f>K44-K45-K47</x:f>
        <x:v>63000</x:v>
      </x:c>
      <x:c r="L50" s="61" t="n">
        <x:f>L44-L45-L47</x:f>
        <x:v>63000</x:v>
      </x:c>
      <x:c r="M50" s="61" t="n">
        <x:f>M44-M45-M47</x:f>
        <x:v>73500</x:v>
      </x:c>
      <x:c r="N50" s="61" t="n">
        <x:f>N44-N45-N47</x:f>
        <x:v>73500</x:v>
      </x:c>
      <x:c r="O50" s="61" t="n">
        <x:f>O44-O45-O47</x:f>
        <x:v>84000</x:v>
      </x:c>
    </x:row>
    <x:row r="51" ht="20" customHeight="1">
      <x:c r="A51" s="4" t="str">
        <x:v>Customer cash receipts</x:v>
      </x:c>
      <x:c r="B51" s="4"/>
      <x:c r="C51" s="4"/>
      <x:c r="D51" s="41" t="n">
        <x:f>IF($B$19&lt;30,D40*(1-$B$19/30)+0*$B$19/30,IF($B$19&lt;60,0*(2-$B$19/30)+0*($B$19/30-1),IF($B$19&lt;=90,0*(3-$B$19/30)+0*($B$19/30-2),0)))</x:f>
        <x:v>472500</x:v>
      </x:c>
      <x:c r="E51" s="41" t="n">
        <x:f>IF($B$19&lt;30,E40*(1-$B$19/30)+D40*$B$19/30,IF($B$19&lt;60,D40*(2-$B$19/30)+0*($B$19/30-1),IF($B$19&lt;=90,0*(3-$B$19/30)+0*($B$19/30-2),0)))</x:f>
        <x:v>666750</x:v>
      </x:c>
      <x:c r="F51" s="41" t="n">
        <x:f>IF($B$19&lt;30,F40*(1-$B$19/30)+E40*$B$19/30,IF($B$19&lt;60,E40*(2-$B$19/30)+D40*($B$19/30-1),IF($B$19&lt;=90,D40*(3-$B$19/30)+0*($B$19/30-2),0)))</x:f>
        <x:v>824250</x:v>
      </x:c>
      <x:c r="G51" s="41" t="n">
        <x:f>IF($B$19&lt;30,G40*(1-$B$19/30)+F40*$B$19/30,IF($B$19&lt;60,F40*(2-$B$19/30)+E40*($B$19/30-1),IF($B$19&lt;=90,E40*(3-$B$19/30)+D40*($B$19/30-2),0)))</x:f>
        <x:v>934500</x:v>
      </x:c>
      <x:c r="H51" s="41" t="n">
        <x:f>IF($B$19&lt;30,H40*(1-$B$19/30)+G40*$B$19/30,IF($B$19&lt;60,G40*(2-$B$19/30)+F40*($B$19/30-1),IF($B$19&lt;=90,F40*(3-$B$19/30)+E40*($B$19/30-2),0)))</x:f>
        <x:v>992250</x:v>
      </x:c>
      <x:c r="I51" s="41" t="n">
        <x:f>IF($B$19&lt;30,I40*(1-$B$19/30)+H40*$B$19/30,IF($B$19&lt;60,H40*(2-$B$19/30)+G40*($B$19/30-1),IF($B$19&lt;=90,G40*(3-$B$19/30)+F40*($B$19/30-2),0)))</x:f>
        <x:v>1044750</x:v>
      </x:c>
      <x:c r="J51" s="41" t="n">
        <x:f>IF($B$19&lt;30,J40*(1-$B$19/30)+I40*$B$19/30,IF($B$19&lt;60,I40*(2-$B$19/30)+H40*($B$19/30-1),IF($B$19&lt;=90,H40*(3-$B$19/30)+G40*($B$19/30-2),0)))</x:f>
        <x:v>1050000</x:v>
      </x:c>
      <x:c r="K51" s="41" t="n">
        <x:f>IF($B$19&lt;30,K40*(1-$B$19/30)+J40*$B$19/30,IF($B$19&lt;60,J40*(2-$B$19/30)+I40*($B$19/30-1),IF($B$19&lt;=90,I40*(3-$B$19/30)+H40*($B$19/30-2),0)))</x:f>
        <x:v>1097250</x:v>
      </x:c>
      <x:c r="L51" s="41" t="n">
        <x:f>IF($B$19&lt;30,L40*(1-$B$19/30)+K40*$B$19/30,IF($B$19&lt;60,K40*(2-$B$19/30)+J40*($B$19/30-1),IF($B$19&lt;=90,J40*(3-$B$19/30)+I40*($B$19/30-2),0)))</x:f>
        <x:v>1102500</x:v>
      </x:c>
      <x:c r="M51" s="41" t="n">
        <x:f>IF($B$19&lt;30,M40*(1-$B$19/30)+L40*$B$19/30,IF($B$19&lt;60,L40*(2-$B$19/30)+K40*($B$19/30-1),IF($B$19&lt;=90,K40*(3-$B$19/30)+J40*($B$19/30-2),0)))</x:f>
        <x:v>1149750</x:v>
      </x:c>
      <x:c r="N51" s="41" t="n">
        <x:f>IF($B$19&lt;30,N40*(1-$B$19/30)+M40*$B$19/30,IF($B$19&lt;60,M40*(2-$B$19/30)+L40*($B$19/30-1),IF($B$19&lt;=90,L40*(3-$B$19/30)+K40*($B$19/30-2),0)))</x:f>
        <x:v>1155000</x:v>
      </x:c>
      <x:c r="O51" s="41" t="n">
        <x:f>IF($B$19&lt;30,O40*(1-$B$19/30)+N40*$B$19/30,IF($B$19&lt;60,N40*(2-$B$19/30)+M40*($B$19/30-1),IF($B$19&lt;=90,M40*(3-$B$19/30)+L40*($B$19/30-2),0)))</x:f>
        <x:v>1202250</x:v>
      </x:c>
    </x:row>
    <x:row r="52" ht="20" customHeight="1">
      <x:c r="A52" s="4" t="str">
        <x:v>Closing receivables</x:v>
      </x:c>
      <x:c r="B52" s="4"/>
      <x:c r="C52" s="4"/>
      <x:c r="D52" s="41" t="n">
        <x:f>0+D40-D51</x:f>
        <x:v>52500</x:v>
      </x:c>
      <x:c r="E52" s="41" t="n">
        <x:f>D52+E40-E51</x:f>
        <x:v>68250</x:v>
      </x:c>
      <x:c r="F52" s="41" t="n">
        <x:f>E52+F40-F51</x:f>
        <x:v>84000</x:v>
      </x:c>
      <x:c r="G52" s="41" t="n">
        <x:f>F52+G40-G51</x:f>
        <x:v>94500</x:v>
      </x:c>
      <x:c r="H52" s="41" t="n">
        <x:f>G52+H40-H51</x:f>
        <x:v>99750</x:v>
      </x:c>
      <x:c r="I52" s="41" t="n">
        <x:f>H52+I40-I51</x:f>
        <x:v>105000</x:v>
      </x:c>
      <x:c r="J52" s="41" t="n">
        <x:f>I52+J40-J51</x:f>
        <x:v>105000</x:v>
      </x:c>
      <x:c r="K52" s="41" t="n">
        <x:f>J52+K40-K51</x:f>
        <x:v>110250</x:v>
      </x:c>
      <x:c r="L52" s="41" t="n">
        <x:f>K52+L40-L51</x:f>
        <x:v>110250</x:v>
      </x:c>
      <x:c r="M52" s="41" t="n">
        <x:f>L52+M40-M51</x:f>
        <x:v>115500</x:v>
      </x:c>
      <x:c r="N52" s="41" t="n">
        <x:f>M52+N40-N51</x:f>
        <x:v>115500</x:v>
      </x:c>
      <x:c r="O52" s="41" t="n">
        <x:f>N52+O40-O51</x:f>
        <x:v>120750</x:v>
      </x:c>
    </x:row>
    <x:row r="53" ht="20" customHeight="1">
      <x:c r="A53" s="4" t="str">
        <x:v>Closing inventory target</x:v>
      </x:c>
      <x:c r="B53" s="4"/>
      <x:c r="C53" s="4"/>
      <x:c r="D53" s="41" t="n">
        <x:f>D41*$B$13*$B$20/30</x:f>
        <x:v>604800</x:v>
      </x:c>
      <x:c r="E53" s="41" t="n">
        <x:f>E41*$B$13*$B$20/30</x:f>
        <x:v>786240</x:v>
      </x:c>
      <x:c r="F53" s="41" t="n">
        <x:f>F41*$B$13*$B$20/30</x:f>
        <x:v>967680</x:v>
      </x:c>
      <x:c r="G53" s="41" t="n">
        <x:f>G41*$B$13*$B$20/30</x:f>
        <x:v>1088640</x:v>
      </x:c>
      <x:c r="H53" s="41" t="n">
        <x:f>H41*$B$13*$B$20/30</x:f>
        <x:v>1149120</x:v>
      </x:c>
      <x:c r="I53" s="41" t="n">
        <x:f>I41*$B$13*$B$20/30</x:f>
        <x:v>1209600</x:v>
      </x:c>
      <x:c r="J53" s="41" t="n">
        <x:f>J41*$B$13*$B$20/30</x:f>
        <x:v>1209600</x:v>
      </x:c>
      <x:c r="K53" s="41" t="n">
        <x:f>K41*$B$13*$B$20/30</x:f>
        <x:v>1270080</x:v>
      </x:c>
      <x:c r="L53" s="41" t="n">
        <x:f>L41*$B$13*$B$20/30</x:f>
        <x:v>1270080</x:v>
      </x:c>
      <x:c r="M53" s="41" t="n">
        <x:f>M41*$B$13*$B$20/30</x:f>
        <x:v>1330560</x:v>
      </x:c>
      <x:c r="N53" s="41" t="n">
        <x:f>N41*$B$13*$B$20/30</x:f>
        <x:v>1330560</x:v>
      </x:c>
      <x:c r="O53" s="41" t="n">
        <x:f>O41*$B$13*$B$20/30</x:f>
        <x:v>1391040</x:v>
      </x:c>
    </x:row>
    <x:row r="54" ht="20" customHeight="1">
      <x:c r="A54" s="4" t="str">
        <x:v>Change in inventory</x:v>
      </x:c>
      <x:c r="B54" s="4"/>
      <x:c r="C54" s="4"/>
      <x:c r="D54" s="41" t="n">
        <x:f>D53-0</x:f>
        <x:v>604800</x:v>
      </x:c>
      <x:c r="E54" s="41" t="n">
        <x:f>E53-D53</x:f>
        <x:v>181440</x:v>
      </x:c>
      <x:c r="F54" s="41" t="n">
        <x:f>F53-E53</x:f>
        <x:v>181440</x:v>
      </x:c>
      <x:c r="G54" s="41" t="n">
        <x:f>G53-F53</x:f>
        <x:v>120960</x:v>
      </x:c>
      <x:c r="H54" s="41" t="n">
        <x:f>H53-G53</x:f>
        <x:v>60480</x:v>
      </x:c>
      <x:c r="I54" s="41" t="n">
        <x:f>I53-H53</x:f>
        <x:v>60480</x:v>
      </x:c>
      <x:c r="J54" s="41" t="n">
        <x:f>J53-I53</x:f>
        <x:v>0</x:v>
      </x:c>
      <x:c r="K54" s="41" t="n">
        <x:f>K53-J53</x:f>
        <x:v>60480</x:v>
      </x:c>
      <x:c r="L54" s="41" t="n">
        <x:f>L53-K53</x:f>
        <x:v>0</x:v>
      </x:c>
      <x:c r="M54" s="41" t="n">
        <x:f>M53-L53</x:f>
        <x:v>60480</x:v>
      </x:c>
      <x:c r="N54" s="41" t="n">
        <x:f>N53-M53</x:f>
        <x:v>0</x:v>
      </x:c>
      <x:c r="O54" s="41" t="n">
        <x:f>O53-N53</x:f>
        <x:v>60480</x:v>
      </x:c>
    </x:row>
    <x:row r="55" ht="20" customHeight="1">
      <x:c r="A55" s="4" t="str">
        <x:v>Purchases / variable cash obligation</x:v>
      </x:c>
      <x:c r="B55" s="4"/>
      <x:c r="C55" s="4"/>
      <x:c r="D55" s="41" t="n">
        <x:f>D41+D54</x:f>
        <x:v>1024800</x:v>
      </x:c>
      <x:c r="E55" s="41" t="n">
        <x:f>E41+E54</x:f>
        <x:v>727440</x:v>
      </x:c>
      <x:c r="F55" s="41" t="n">
        <x:f>F41+F54</x:f>
        <x:v>853440</x:v>
      </x:c>
      <x:c r="G55" s="41" t="n">
        <x:f>G41+G54</x:f>
        <x:v>876960</x:v>
      </x:c>
      <x:c r="H55" s="41" t="n">
        <x:f>H41+H54</x:f>
        <x:v>858480</x:v>
      </x:c>
      <x:c r="I55" s="41" t="n">
        <x:f>I41+I54</x:f>
        <x:v>900480</x:v>
      </x:c>
      <x:c r="J55" s="41" t="n">
        <x:f>J41+J54</x:f>
        <x:v>840000</x:v>
      </x:c>
      <x:c r="K55" s="41" t="n">
        <x:f>K41+K54</x:f>
        <x:v>942480</x:v>
      </x:c>
      <x:c r="L55" s="41" t="n">
        <x:f>L41+L54</x:f>
        <x:v>882000</x:v>
      </x:c>
      <x:c r="M55" s="41" t="n">
        <x:f>M41+M54</x:f>
        <x:v>984480</x:v>
      </x:c>
      <x:c r="N55" s="41" t="n">
        <x:f>N41+N54</x:f>
        <x:v>924000</x:v>
      </x:c>
      <x:c r="O55" s="41" t="n">
        <x:f>O41+O54</x:f>
        <x:v>1026480</x:v>
      </x:c>
    </x:row>
    <x:row r="56" ht="20" customHeight="1">
      <x:c r="A56" s="4" t="str">
        <x:v>Credit-eligible purchases</x:v>
      </x:c>
      <x:c r="B56" s="4"/>
      <x:c r="C56" s="4"/>
      <x:c r="D56" s="41" t="n">
        <x:f>D55*$B$14</x:f>
        <x:v>983808</x:v>
      </x:c>
      <x:c r="E56" s="41" t="n">
        <x:f>E55*$B$14</x:f>
        <x:v>698342.4</x:v>
      </x:c>
      <x:c r="F56" s="41" t="n">
        <x:f>F55*$B$14</x:f>
        <x:v>819302.4</x:v>
      </x:c>
      <x:c r="G56" s="41" t="n">
        <x:f>G55*$B$14</x:f>
        <x:v>841881.6</x:v>
      </x:c>
      <x:c r="H56" s="41" t="n">
        <x:f>H55*$B$14</x:f>
        <x:v>824140.7999999999</x:v>
      </x:c>
      <x:c r="I56" s="41" t="n">
        <x:f>I55*$B$14</x:f>
        <x:v>864460.7999999999</x:v>
      </x:c>
      <x:c r="J56" s="41" t="n">
        <x:f>J55*$B$14</x:f>
        <x:v>806400</x:v>
      </x:c>
      <x:c r="K56" s="41" t="n">
        <x:f>K55*$B$14</x:f>
        <x:v>904780.7999999999</x:v>
      </x:c>
      <x:c r="L56" s="41" t="n">
        <x:f>L55*$B$14</x:f>
        <x:v>846720</x:v>
      </x:c>
      <x:c r="M56" s="41" t="n">
        <x:f>M55*$B$14</x:f>
        <x:v>945100.7999999999</x:v>
      </x:c>
      <x:c r="N56" s="41" t="n">
        <x:f>N55*$B$14</x:f>
        <x:v>887040</x:v>
      </x:c>
      <x:c r="O56" s="41" t="n">
        <x:f>O55*$B$14</x:f>
        <x:v>985420.7999999999</x:v>
      </x:c>
    </x:row>
    <x:row r="57" ht="20" customHeight="1">
      <x:c r="A57" s="4" t="str">
        <x:v>Cash paid for variable costs</x:v>
      </x:c>
      <x:c r="B57" s="4"/>
      <x:c r="C57" s="4"/>
      <x:c r="D57" s="41" t="n">
        <x:f>D55-D56+IF($B$21&lt;30,D56*(1-$B$21/30)+0*$B$21/30,IF($B$21&lt;60,0*(2-$B$21/30)+0*($B$21/30-1),IF($B$21&lt;=90,0*(3-$B$21/30)+0*($B$21/30-2),0)))</x:f>
        <x:v>40992</x:v>
      </x:c>
      <x:c r="E57" s="41" t="n">
        <x:f>E55-E56+IF($B$21&lt;30,E56*(1-$B$21/30)+D56*$B$21/30,IF($B$21&lt;60,D56*(2-$B$21/30)+0*($B$21/30-1),IF($B$21&lt;=90,0*(3-$B$21/30)+0*($B$21/30-2),0)))</x:f>
        <x:v>1012905.6</x:v>
      </x:c>
      <x:c r="F57" s="41" t="n">
        <x:f>F55-F56+IF($B$21&lt;30,F56*(1-$B$21/30)+E56*$B$21/30,IF($B$21&lt;60,E56*(2-$B$21/30)+D56*($B$21/30-1),IF($B$21&lt;=90,D56*(3-$B$21/30)+0*($B$21/30-2),0)))</x:f>
        <x:v>732480</x:v>
      </x:c>
      <x:c r="G57" s="41" t="n">
        <x:f>G55-G56+IF($B$21&lt;30,G56*(1-$B$21/30)+F56*$B$21/30,IF($B$21&lt;60,F56*(2-$B$21/30)+E56*($B$21/30-1),IF($B$21&lt;=90,E56*(3-$B$21/30)+D56*($B$21/30-2),0)))</x:f>
        <x:v>854380.8</x:v>
      </x:c>
      <x:c r="H57" s="41" t="n">
        <x:f>H55-H56+IF($B$21&lt;30,H56*(1-$B$21/30)+G56*$B$21/30,IF($B$21&lt;60,G56*(2-$B$21/30)+F56*($B$21/30-1),IF($B$21&lt;=90,F56*(3-$B$21/30)+E56*($B$21/30-2),0)))</x:f>
        <x:v>876220.8</x:v>
      </x:c>
      <x:c r="I57" s="41" t="n">
        <x:f>I55-I56+IF($B$21&lt;30,I56*(1-$B$21/30)+H56*$B$21/30,IF($B$21&lt;60,H56*(2-$B$21/30)+G56*($B$21/30-1),IF($B$21&lt;=90,G56*(3-$B$21/30)+F56*($B$21/30-2),0)))</x:f>
        <x:v>860160</x:v>
      </x:c>
      <x:c r="J57" s="41" t="n">
        <x:f>J55-J56+IF($B$21&lt;30,J56*(1-$B$21/30)+I56*$B$21/30,IF($B$21&lt;60,I56*(2-$B$21/30)+H56*($B$21/30-1),IF($B$21&lt;=90,H56*(3-$B$21/30)+G56*($B$21/30-2),0)))</x:f>
        <x:v>898060.7999999999</x:v>
      </x:c>
      <x:c r="K57" s="41" t="n">
        <x:f>K55-K56+IF($B$21&lt;30,K56*(1-$B$21/30)+J56*$B$21/30,IF($B$21&lt;60,J56*(2-$B$21/30)+I56*($B$21/30-1),IF($B$21&lt;=90,I56*(3-$B$21/30)+H56*($B$21/30-2),0)))</x:f>
        <x:v>844099.2000000001</x:v>
      </x:c>
      <x:c r="L57" s="41" t="n">
        <x:f>L55-L56+IF($B$21&lt;30,L56*(1-$B$21/30)+K56*$B$21/30,IF($B$21&lt;60,K56*(2-$B$21/30)+J56*($B$21/30-1),IF($B$21&lt;=90,J56*(3-$B$21/30)+I56*($B$21/30-2),0)))</x:f>
        <x:v>940060.7999999999</x:v>
      </x:c>
      <x:c r="M57" s="41" t="n">
        <x:f>M55-M56+IF($B$21&lt;30,M56*(1-$B$21/30)+L56*$B$21/30,IF($B$21&lt;60,L56*(2-$B$21/30)+K56*($B$21/30-1),IF($B$21&lt;=90,K56*(3-$B$21/30)+J56*($B$21/30-2),0)))</x:f>
        <x:v>886099.2000000001</x:v>
      </x:c>
      <x:c r="N57" s="41" t="n">
        <x:f>N55-N56+IF($B$21&lt;30,N56*(1-$B$21/30)+M56*$B$21/30,IF($B$21&lt;60,M56*(2-$B$21/30)+L56*($B$21/30-1),IF($B$21&lt;=90,L56*(3-$B$21/30)+K56*($B$21/30-2),0)))</x:f>
        <x:v>982060.7999999999</x:v>
      </x:c>
      <x:c r="O57" s="41" t="n">
        <x:f>O55-O56+IF($B$21&lt;30,O56*(1-$B$21/30)+N56*$B$21/30,IF($B$21&lt;60,N56*(2-$B$21/30)+M56*($B$21/30-1),IF($B$21&lt;=90,M56*(3-$B$21/30)+L56*($B$21/30-2),0)))</x:f>
        <x:v>928099.2000000001</x:v>
      </x:c>
    </x:row>
    <x:row r="58" ht="20" customHeight="1">
      <x:c r="A58" s="4" t="str">
        <x:v>Closing trade payables</x:v>
      </x:c>
      <x:c r="B58" s="4"/>
      <x:c r="C58" s="4"/>
      <x:c r="D58" s="41" t="n">
        <x:f>0+D56-(IF($B$21&lt;30,D56*(1-$B$21/30)+0*$B$21/30,IF($B$21&lt;60,0*(2-$B$21/30)+0*($B$21/30-1),IF($B$21&lt;=90,0*(3-$B$21/30)+0*($B$21/30-2),0))))</x:f>
        <x:v>983808</x:v>
      </x:c>
      <x:c r="E58" s="41" t="n">
        <x:f>D58+E56-(IF($B$21&lt;30,E56*(1-$B$21/30)+D56*$B$21/30,IF($B$21&lt;60,D56*(2-$B$21/30)+0*($B$21/30-1),IF($B$21&lt;=90,0*(3-$B$21/30)+0*($B$21/30-2),0))))</x:f>
        <x:v>698342.3999999999</x:v>
      </x:c>
      <x:c r="F58" s="41" t="n">
        <x:f>E58+F56-(IF($B$21&lt;30,F56*(1-$B$21/30)+E56*$B$21/30,IF($B$21&lt;60,E56*(2-$B$21/30)+D56*($B$21/30-1),IF($B$21&lt;=90,D56*(3-$B$21/30)+0*($B$21/30-2),0))))</x:f>
        <x:v>819302.3999999998</x:v>
      </x:c>
      <x:c r="G58" s="41" t="n">
        <x:f>F58+G56-(IF($B$21&lt;30,G56*(1-$B$21/30)+F56*$B$21/30,IF($B$21&lt;60,F56*(2-$B$21/30)+E56*($B$21/30-1),IF($B$21&lt;=90,E56*(3-$B$21/30)+D56*($B$21/30-2),0))))</x:f>
        <x:v>841881.5999999997</x:v>
      </x:c>
      <x:c r="H58" s="41" t="n">
        <x:f>G58+H56-(IF($B$21&lt;30,H56*(1-$B$21/30)+G56*$B$21/30,IF($B$21&lt;60,G56*(2-$B$21/30)+F56*($B$21/30-1),IF($B$21&lt;=90,F56*(3-$B$21/30)+E56*($B$21/30-2),0))))</x:f>
        <x:v>824140.7999999997</x:v>
      </x:c>
      <x:c r="I58" s="41" t="n">
        <x:f>H58+I56-(IF($B$21&lt;30,I56*(1-$B$21/30)+H56*$B$21/30,IF($B$21&lt;60,H56*(2-$B$21/30)+G56*($B$21/30-1),IF($B$21&lt;=90,G56*(3-$B$21/30)+F56*($B$21/30-2),0))))</x:f>
        <x:v>864460.7999999997</x:v>
      </x:c>
      <x:c r="J58" s="41" t="n">
        <x:f>I58+J56-(IF($B$21&lt;30,J56*(1-$B$21/30)+I56*$B$21/30,IF($B$21&lt;60,I56*(2-$B$21/30)+H56*($B$21/30-1),IF($B$21&lt;=90,H56*(3-$B$21/30)+G56*($B$21/30-2),0))))</x:f>
        <x:v>806399.9999999999</x:v>
      </x:c>
      <x:c r="K58" s="41" t="n">
        <x:f>J58+K56-(IF($B$21&lt;30,K56*(1-$B$21/30)+J56*$B$21/30,IF($B$21&lt;60,J56*(2-$B$21/30)+I56*($B$21/30-1),IF($B$21&lt;=90,I56*(3-$B$21/30)+H56*($B$21/30-2),0))))</x:f>
        <x:v>904780.7999999998</x:v>
      </x:c>
      <x:c r="L58" s="41" t="n">
        <x:f>K58+L56-(IF($B$21&lt;30,L56*(1-$B$21/30)+K56*$B$21/30,IF($B$21&lt;60,K56*(2-$B$21/30)+J56*($B$21/30-1),IF($B$21&lt;=90,J56*(3-$B$21/30)+I56*($B$21/30-2),0))))</x:f>
        <x:v>846719.9999999999</x:v>
      </x:c>
      <x:c r="M58" s="41" t="n">
        <x:f>L58+M56-(IF($B$21&lt;30,M56*(1-$B$21/30)+L56*$B$21/30,IF($B$21&lt;60,L56*(2-$B$21/30)+K56*($B$21/30-1),IF($B$21&lt;=90,K56*(3-$B$21/30)+J56*($B$21/30-2),0))))</x:f>
        <x:v>945100.7999999998</x:v>
      </x:c>
      <x:c r="N58" s="41" t="n">
        <x:f>M58+N56-(IF($B$21&lt;30,N56*(1-$B$21/30)+M56*$B$21/30,IF($B$21&lt;60,M56*(2-$B$21/30)+L56*($B$21/30-1),IF($B$21&lt;=90,L56*(3-$B$21/30)+K56*($B$21/30-2),0))))</x:f>
        <x:v>887039.9999999999</x:v>
      </x:c>
      <x:c r="O58" s="41" t="n">
        <x:f>N58+O56-(IF($B$21&lt;30,O56*(1-$B$21/30)+N56*$B$21/30,IF($B$21&lt;60,N56*(2-$B$21/30)+M56*($B$21/30-1),IF($B$21&lt;=90,M56*(3-$B$21/30)+L56*($B$21/30-2),0))))</x:f>
        <x:v>985420.7999999998</x:v>
      </x:c>
    </x:row>
    <x:row r="59" ht="20" customHeight="1">
      <x:c r="A59" s="60" t="str">
        <x:v>Operating cash before interest/tax</x:v>
      </x:c>
      <x:c r="B59" s="60"/>
      <x:c r="C59" s="60"/>
      <x:c r="D59" s="61" t="n">
        <x:f>D51-D57-D43</x:f>
        <x:v>281508</x:v>
      </x:c>
      <x:c r="E59" s="61" t="n">
        <x:f>E51-E57-E43</x:f>
        <x:v>-496155.6</x:v>
      </x:c>
      <x:c r="F59" s="61" t="n">
        <x:f>F51-F57-F43</x:f>
        <x:v>-58230</x:v>
      </x:c>
      <x:c r="G59" s="61" t="n">
        <x:f>G51-G57-G43</x:f>
        <x:v>-69880.80000000005</x:v>
      </x:c>
      <x:c r="H59" s="61" t="n">
        <x:f>H51-H57-H43</x:f>
        <x:v>-33970.80000000005</x:v>
      </x:c>
      <x:c r="I59" s="61" t="n">
        <x:f>I51-I57-I43</x:f>
        <x:v>34590</x:v>
      </x:c>
      <x:c r="J59" s="61" t="n">
        <x:f>J51-J57-J43</x:f>
        <x:v>1939.2000000000698</x:v>
      </x:c>
      <x:c r="K59" s="61" t="n">
        <x:f>K51-K57-K43</x:f>
        <x:v>103150.79999999993</x:v>
      </x:c>
      <x:c r="L59" s="61" t="n">
        <x:f>L51-L57-L43</x:f>
        <x:v>12439.20000000007</x:v>
      </x:c>
      <x:c r="M59" s="61" t="n">
        <x:f>M51-M57-M43</x:f>
        <x:v>113650.79999999993</x:v>
      </x:c>
      <x:c r="N59" s="61" t="n">
        <x:f>N51-N57-N43</x:f>
        <x:v>22939.20000000007</x:v>
      </x:c>
      <x:c r="O59" s="61" t="n">
        <x:f>O51-O57-O43</x:f>
        <x:v>124150.79999999993</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281508</x:v>
      </x:c>
      <x:c r="E62" s="61" t="n">
        <x:f>E59-E47-E48-E60-E61</x:f>
        <x:v>-496155.6</x:v>
      </x:c>
      <x:c r="F62" s="61" t="n">
        <x:f>F59-F47-F48-F60-F61</x:f>
        <x:v>-58230</x:v>
      </x:c>
      <x:c r="G62" s="61" t="n">
        <x:f>G59-G47-G48-G60-G61</x:f>
        <x:v>-69880.80000000005</x:v>
      </x:c>
      <x:c r="H62" s="61" t="n">
        <x:f>H59-H47-H48-H60-H61</x:f>
        <x:v>-33970.80000000005</x:v>
      </x:c>
      <x:c r="I62" s="61" t="n">
        <x:f>I59-I47-I48-I60-I61</x:f>
        <x:v>34590</x:v>
      </x:c>
      <x:c r="J62" s="61" t="n">
        <x:f>J59-J47-J48-J60-J61</x:f>
        <x:v>1939.2000000000698</x:v>
      </x:c>
      <x:c r="K62" s="61" t="n">
        <x:f>K59-K47-K48-K60-K61</x:f>
        <x:v>103150.79999999993</x:v>
      </x:c>
      <x:c r="L62" s="61" t="n">
        <x:f>L59-L47-L48-L60-L61</x:f>
        <x:v>12439.20000000007</x:v>
      </x:c>
      <x:c r="M62" s="61" t="n">
        <x:f>M59-M47-M48-M60-M61</x:f>
        <x:v>113650.79999999993</x:v>
      </x:c>
      <x:c r="N62" s="61" t="n">
        <x:f>N59-N47-N48-N60-N61</x:f>
        <x:v>22939.20000000007</x:v>
      </x:c>
      <x:c r="O62" s="61" t="n">
        <x:f>O59-O47-O48-O60-O61</x:f>
        <x:v>124150.79999999993</x:v>
      </x:c>
    </x:row>
    <x:row r="63" ht="20" customHeight="1">
      <x:c r="A63" s="4" t="str">
        <x:v>Opening cash</x:v>
      </x:c>
      <x:c r="B63" s="4"/>
      <x:c r="C63" s="4"/>
      <x:c r="D63" s="41" t="n">
        <x:f>$B$18</x:f>
        <x:v>650000</x:v>
      </x:c>
      <x:c r="E63" s="41" t="n">
        <x:f>D64</x:f>
        <x:v>931508</x:v>
      </x:c>
      <x:c r="F63" s="41" t="n">
        <x:f>E64</x:f>
        <x:v>435352.4</x:v>
      </x:c>
      <x:c r="G63" s="41" t="n">
        <x:f>F64</x:f>
        <x:v>377122.4</x:v>
      </x:c>
      <x:c r="H63" s="41" t="n">
        <x:f>G64</x:f>
        <x:v>307241.6</x:v>
      </x:c>
      <x:c r="I63" s="41" t="n">
        <x:f>H64</x:f>
        <x:v>273270.79999999993</x:v>
      </x:c>
      <x:c r="J63" s="41" t="n">
        <x:f>I64</x:f>
        <x:v>307860.79999999993</x:v>
      </x:c>
      <x:c r="K63" s="41" t="n">
        <x:f>J64</x:f>
        <x:v>309800</x:v>
      </x:c>
      <x:c r="L63" s="41" t="n">
        <x:f>K64</x:f>
        <x:v>412950.79999999993</x:v>
      </x:c>
      <x:c r="M63" s="41" t="n">
        <x:f>L64</x:f>
        <x:v>425390</x:v>
      </x:c>
      <x:c r="N63" s="41" t="n">
        <x:f>M64</x:f>
        <x:v>539040.7999999999</x:v>
      </x:c>
      <x:c r="O63" s="41" t="n">
        <x:f>N64</x:f>
        <x:v>561980</x:v>
      </x:c>
    </x:row>
    <x:row r="64" ht="20" customHeight="1">
      <x:c r="A64" s="60" t="str">
        <x:v>Closing cash</x:v>
      </x:c>
      <x:c r="B64" s="60"/>
      <x:c r="C64" s="60"/>
      <x:c r="D64" s="61" t="n">
        <x:f>D63+D62</x:f>
        <x:v>931508</x:v>
      </x:c>
      <x:c r="E64" s="61" t="n">
        <x:f>E63+E62</x:f>
        <x:v>435352.4</x:v>
      </x:c>
      <x:c r="F64" s="61" t="n">
        <x:f>F63+F62</x:f>
        <x:v>377122.4</x:v>
      </x:c>
      <x:c r="G64" s="61" t="n">
        <x:f>G63+G62</x:f>
        <x:v>307241.6</x:v>
      </x:c>
      <x:c r="H64" s="61" t="n">
        <x:f>H63+H62</x:f>
        <x:v>273270.79999999993</x:v>
      </x:c>
      <x:c r="I64" s="61" t="n">
        <x:f>I63+I62</x:f>
        <x:v>307860.79999999993</x:v>
      </x:c>
      <x:c r="J64" s="61" t="n">
        <x:f>J63+J62</x:f>
        <x:v>309800</x:v>
      </x:c>
      <x:c r="K64" s="61" t="n">
        <x:f>K63+K62</x:f>
        <x:v>412950.79999999993</x:v>
      </x:c>
      <x:c r="L64" s="61" t="n">
        <x:f>L63+L62</x:f>
        <x:v>425390</x:v>
      </x:c>
      <x:c r="M64" s="61" t="n">
        <x:f>M63+M62</x:f>
        <x:v>539040.7999999999</x:v>
      </x:c>
      <x:c r="N64" s="61" t="n">
        <x:f>N63+N62</x:f>
        <x:v>561980</x:v>
      </x:c>
      <x:c r="O64" s="61" t="n">
        <x:f>O63+O62</x:f>
        <x:v>686130.7999999999</x:v>
      </x:c>
    </x:row>
    <x:row r="65" ht="20" customHeight="1">
      <x:c r="A65" s="60" t="str">
        <x:v>Additional funding if closing cash &lt; 0</x:v>
      </x:c>
      <x:c r="B65" s="60"/>
      <x:c r="C65" s="60"/>
      <x:c r="D65" s="61" t="n">
        <x:f>MAX(0,-D64)</x:f>
        <x:v>0</x:v>
      </x:c>
      <x:c r="E65" s="61" t="n">
        <x:f>MAX(0,-E64)</x:f>
        <x:v>0</x:v>
      </x:c>
      <x:c r="F65" s="61" t="n">
        <x:f>MAX(0,-F64)</x:f>
        <x:v>0</x:v>
      </x:c>
      <x:c r="G65" s="61" t="n">
        <x:f>MAX(0,-G64)</x:f>
        <x:v>0</x:v>
      </x:c>
      <x:c r="H65" s="61" t="n">
        <x:f>MAX(0,-H64)</x:f>
        <x:v>0</x:v>
      </x:c>
      <x:c r="I65" s="61" t="n">
        <x:f>MAX(0,-I64)</x:f>
        <x:v>0</x:v>
      </x:c>
      <x:c r="J65" s="61" t="n">
        <x:f>MAX(0,-J64)</x:f>
        <x:v>0</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OK</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OK</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OK</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OK</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OK</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OK</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1400000</x:v>
      </x:c>
      <x:c r="C71" s="4"/>
      <x:c r="D71" s="2"/>
      <x:c r="E71" s="2"/>
      <x:c r="F71" s="2"/>
      <x:c r="G71" s="2"/>
      <x:c r="H71" s="2"/>
      <x:c r="I71" s="2"/>
      <x:c r="J71" s="2"/>
      <x:c r="K71" s="2"/>
      <x:c r="L71" s="2"/>
      <x:c r="M71" s="2"/>
      <x:c r="N71" s="2"/>
      <x:c r="O71" s="2"/>
    </x:row>
    <x:row r="72" ht="28" customHeight="1">
      <x:c r="A72" s="4" t="str">
        <x:v>Equity funding at startup</x:v>
      </x:c>
      <x:c r="B72" s="66" t="n">
        <x:f>MAX(0,SUM(B15:B18)-B23)</x:f>
        <x:v>1400000</x:v>
      </x:c>
      <x:c r="C72" s="4"/>
      <x:c r="D72" s="2"/>
      <x:c r="E72" s="2"/>
      <x:c r="F72" s="2"/>
      <x:c r="G72" s="2"/>
      <x:c r="H72" s="2"/>
      <x:c r="I72" s="2"/>
      <x:c r="J72" s="2"/>
      <x:c r="K72" s="2"/>
      <x:c r="L72" s="2"/>
      <x:c r="M72" s="2"/>
      <x:c r="N72" s="2"/>
      <x:c r="O72" s="2"/>
    </x:row>
    <x:row r="73" ht="28" customHeight="1">
      <x:c r="A73" s="4" t="str">
        <x:v>Steady monthly unit contribution</x:v>
      </x:c>
      <x:c r="B73" s="66" t="n">
        <x:f>B9*B26-B10*B27</x:f>
        <x:v>70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2143</x:v>
      </x:c>
      <x:c r="C74" s="4"/>
      <x:c r="D74" s="2"/>
      <x:c r="E74" s="2"/>
      <x:c r="F74" s="2"/>
      <x:c r="G74" s="2"/>
      <x:c r="H74" s="2"/>
      <x:c r="I74" s="2"/>
      <x:c r="J74" s="2"/>
      <x:c r="K74" s="2"/>
      <x:c r="L74" s="2"/>
      <x:c r="M74" s="2"/>
      <x:c r="N74" s="2"/>
      <x:c r="O74" s="2"/>
    </x:row>
    <x:row r="75" ht="28" customHeight="1">
      <x:c r="A75" s="4" t="str">
        <x:v>Year-one operating cash profit</x:v>
      </x:c>
      <x:c r="B75" s="66" t="n">
        <x:f>SUM(D44:O44)</x:f>
        <x:v>562500</x:v>
      </x:c>
      <x:c r="C75" s="4"/>
      <x:c r="D75" s="2"/>
      <x:c r="E75" s="2"/>
      <x:c r="F75" s="2"/>
      <x:c r="G75" s="2"/>
      <x:c r="H75" s="2"/>
      <x:c r="I75" s="2"/>
      <x:c r="J75" s="2"/>
      <x:c r="K75" s="2"/>
      <x:c r="L75" s="2"/>
      <x:c r="M75" s="2"/>
      <x:c r="N75" s="2"/>
      <x:c r="O75" s="2"/>
    </x:row>
    <x:row r="76" ht="28" customHeight="1">
      <x:c r="A76" s="4" t="str">
        <x:v>Year-one minimum closing cash</x:v>
      </x:c>
      <x:c r="B76" s="66" t="n">
        <x:f>MIN(D64:O64)</x:f>
        <x:v>273270.79999999993</x:v>
      </x:c>
      <x:c r="C76" s="4"/>
      <x:c r="D76" s="2"/>
      <x:c r="E76" s="2"/>
      <x:c r="F76" s="2"/>
      <x:c r="G76" s="2"/>
      <x:c r="H76" s="2"/>
      <x:c r="I76" s="2"/>
      <x:c r="J76" s="2"/>
      <x:c r="K76" s="2"/>
      <x:c r="L76" s="2"/>
      <x:c r="M76" s="2"/>
      <x:c r="N76" s="2"/>
      <x:c r="O76" s="2"/>
    </x:row>
    <x:row r="77" ht="28" customHeight="1">
      <x:c r="A77" s="4" t="str">
        <x:v>Additional opening liquidity needed</x:v>
      </x:c>
      <x:c r="B77" s="66" t="n">
        <x:f>MAX(0,-MIN(D64:O64))</x:f>
        <x:v>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ILLUSTRATIVE</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55" customHeight="1">
      <x:c r="A90" s="115" t="str">
        <x:v>Retail illustration, NOT PMBI-specific credit terms. PMBI August 2025 guidelines describe 50% advance before dispatch and balance within 30 days, with possible 100% advance after repeated overdue payments. Actual distributor terms may differ. Replace B14/B21 and separately plan pre-dispatch cash. A monthly approximation is not the contractual payment calendar.</x:v>
      </x:c>
      <x:c r="B90" s="115"/>
      <x:c r="C90" s="115"/>
      <x:c r="D90" s="115"/>
      <x:c r="E90" s="115"/>
      <x:c r="F90" s="115"/>
      <x:c r="G90" s="115"/>
      <x:c r="H90" s="115"/>
      <x:c r="I90" s="115"/>
      <x:c r="J90" s="115"/>
      <x:c r="K90" s="115"/>
      <x:c r="L90" s="115"/>
      <x:c r="M90" s="115"/>
      <x:c r="N90" s="115"/>
      <x:c r="O90" s="115"/>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 ref="A90:O90"/>
  </x:mergeCells>
  <x:conditionalFormatting sqref="D64:O64">
    <x:cfRule type="expression" dxfId="8" priority="1">
      <x:formula>D64&lt;0</x:formula>
    </x:cfRule>
  </x:conditionalFormatting>
  <x:conditionalFormatting sqref="D66:O66">
    <x:cfRule type="expression" dxfId="45" priority="2">
      <x:formula>D66&lt;&gt;"OK"</x:formula>
    </x:cfRule>
  </x:conditionalFormatting>
  <x:pageMargins left="0.7" right="0.7" top="0.75" bottom="0.75" header="0.3" footer="0.3"/>
  <x:drawing xmlns:r="http://schemas.openxmlformats.org/officeDocument/2006/relationships" r:id="Rd5d4ceebe35c4518"/>
  <x:legacyDrawing xmlns:r="http://schemas.openxmlformats.org/officeDocument/2006/relationships" r:id="Red8980812e7e4368"/>
</x:worksheet>
</file>

<file path=xl/worksheets/sheet10.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PCJ-24 | Electronics Repair &amp; Refurbishment</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FUNDING GAP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2300</x:v>
      </x:c>
      <x:c r="G7" s="2"/>
      <x:c r="H7" s="2"/>
      <x:c r="I7" s="2"/>
      <x:c r="J7" s="2"/>
      <x:c r="K7" s="2"/>
      <x:c r="L7" s="2"/>
      <x:c r="M7" s="2"/>
      <x:c r="N7" s="2"/>
      <x:c r="O7" s="2"/>
    </x:row>
    <x:row r="8" ht="38" customHeight="1">
      <x:c r="A8" s="90" t="str">
        <x:v>Base monthly units</x:v>
      </x:c>
      <x:c r="B8" s="106" t="n">
        <x:v>160</x:v>
      </x:c>
      <x:c r="C8" s="90" t="str">
        <x:v>Billable output, not leads or maximum capacity.</x:v>
      </x:c>
      <x:c r="D8" s="2"/>
      <x:c r="E8" s="2" t="n">
        <x:v>2</x:v>
      </x:c>
      <x:c r="F8" s="40" t="n">
        <x:f>E64</x:f>
        <x:v>-336310</x:v>
      </x:c>
      <x:c r="G8" s="2"/>
      <x:c r="H8" s="2"/>
      <x:c r="I8" s="2"/>
      <x:c r="J8" s="2"/>
      <x:c r="K8" s="2"/>
      <x:c r="L8" s="2"/>
      <x:c r="M8" s="2"/>
      <x:c r="N8" s="2"/>
      <x:c r="O8" s="2"/>
    </x:row>
    <x:row r="9" ht="38" customHeight="1">
      <x:c r="A9" s="90" t="str">
        <x:v>Net realised price / unit (INR)</x:v>
      </x:c>
      <x:c r="B9" s="106" t="n">
        <x:v>12000</x:v>
      </x:c>
      <x:c r="C9" s="90" t="str">
        <x:v>Excludes GST; net of commercial reductions.</x:v>
      </x:c>
      <x:c r="D9" s="2"/>
      <x:c r="E9" s="2" t="n">
        <x:v>3</x:v>
      </x:c>
      <x:c r="F9" s="40" t="n">
        <x:f>F64</x:f>
        <x:v>-461310</x:v>
      </x:c>
      <x:c r="G9" s="2"/>
      <x:c r="H9" s="2"/>
      <x:c r="I9" s="2"/>
      <x:c r="J9" s="2"/>
      <x:c r="K9" s="2"/>
      <x:c r="L9" s="2"/>
      <x:c r="M9" s="2"/>
      <x:c r="N9" s="2"/>
      <x:c r="O9" s="2"/>
    </x:row>
    <x:row r="10" ht="38" customHeight="1">
      <x:c r="A10" s="90" t="str">
        <x:v>Variable cash cost / unit (INR)</x:v>
      </x:c>
      <x:c r="B10" s="106" t="n">
        <x:v>9000</x:v>
      </x:c>
      <x:c r="C10" s="90" t="str">
        <x:v>Include expected direct rework/returns where relevant.</x:v>
      </x:c>
      <x:c r="D10" s="2"/>
      <x:c r="E10" s="2" t="n">
        <x:v>4</x:v>
      </x:c>
      <x:c r="F10" s="40" t="n">
        <x:f>G64</x:f>
        <x:v>-475539.99999999977</x:v>
      </x:c>
      <x:c r="G10" s="2"/>
      <x:c r="H10" s="2"/>
      <x:c r="I10" s="2"/>
      <x:c r="J10" s="2"/>
      <x:c r="K10" s="2"/>
      <x:c r="L10" s="2"/>
      <x:c r="M10" s="2"/>
      <x:c r="N10" s="2"/>
      <x:c r="O10" s="2"/>
    </x:row>
    <x:row r="11" ht="38" customHeight="1">
      <x:c r="A11" s="90" t="str">
        <x:v>Fixed monthly cash cost (INR)</x:v>
      </x:c>
      <x:c r="B11" s="106" t="n">
        <x:v>260000</x:v>
      </x:c>
      <x:c r="C11" s="90" t="str">
        <x:v>Include supervision and realistic owner-replacement cost.</x:v>
      </x:c>
      <x:c r="D11" s="2"/>
      <x:c r="E11" s="2" t="n">
        <x:v>5</x:v>
      </x:c>
      <x:c r="F11" s="40" t="n">
        <x:f>H64</x:f>
        <x:v>-382769.99999999953</x:v>
      </x:c>
      <x:c r="G11" s="2"/>
      <x:c r="H11" s="2"/>
      <x:c r="I11" s="2"/>
      <x:c r="J11" s="2"/>
      <x:c r="K11" s="2"/>
      <x:c r="L11" s="2"/>
      <x:c r="M11" s="2"/>
      <x:c r="N11" s="2"/>
      <x:c r="O11" s="2"/>
    </x:row>
    <x:row r="12" ht="38" customHeight="1">
      <x:c r="A12" s="90" t="str">
        <x:v>Safe / saleable monthly capacity</x:v>
      </x:c>
      <x:c r="B12" s="106" t="n">
        <x:v>300</x:v>
      </x:c>
      <x:c r="C12" s="90" t="str">
        <x:v>Planning input; does not certify safe technical capacity.</x:v>
      </x:c>
      <x:c r="D12" s="2"/>
      <x:c r="E12" s="2" t="n">
        <x:v>6</x:v>
      </x:c>
      <x:c r="F12" s="40" t="n">
        <x:f>I64</x:f>
        <x:v>-245769.9999999993</x:v>
      </x:c>
      <x:c r="G12" s="2"/>
      <x:c r="H12" s="2"/>
      <x:c r="I12" s="2"/>
      <x:c r="J12" s="2"/>
      <x:c r="K12" s="2"/>
      <x:c r="L12" s="2"/>
      <x:c r="M12" s="2"/>
      <x:c r="N12" s="2"/>
      <x:c r="O12" s="2"/>
    </x:row>
    <x:row r="13" ht="38" customHeight="1">
      <x:c r="A13" s="90" t="str">
        <x:v>Inventory-eligible share of variable cost</x:v>
      </x:c>
      <x:c r="B13" s="107" t="n">
        <x:v>0.85</x:v>
      </x:c>
      <x:c r="C13" s="90" t="str">
        <x:v>Only this share drives modelled inventory.</x:v>
      </x:c>
      <x:c r="D13" s="2"/>
      <x:c r="E13" s="2" t="n">
        <x:v>7</x:v>
      </x:c>
      <x:c r="F13" s="40" t="n">
        <x:f>J64</x:f>
        <x:v>-45999.99999999907</x:v>
      </x:c>
      <x:c r="G13" s="2"/>
      <x:c r="H13" s="2"/>
      <x:c r="I13" s="2"/>
      <x:c r="J13" s="2"/>
      <x:c r="K13" s="2"/>
      <x:c r="L13" s="2"/>
      <x:c r="M13" s="2"/>
      <x:c r="N13" s="2"/>
      <x:c r="O13" s="2"/>
    </x:row>
    <x:row r="14" ht="38" customHeight="1">
      <x:c r="A14" s="90" t="str">
        <x:v>Supplier-credit share of purchases</x:v>
      </x:c>
      <x:c r="B14" s="107" t="n">
        <x:v>0.85</x:v>
      </x:c>
      <x:c r="C14" s="90" t="str">
        <x:v>Other costs are paid currently; do not defer payroll unlawfully.</x:v>
      </x:c>
      <x:c r="D14" s="2"/>
      <x:c r="E14" s="2" t="n">
        <x:v>8</x:v>
      </x:c>
      <x:c r="F14" s="40" t="n">
        <x:f>K64</x:f>
        <x:v>135230.00000000116</x:v>
      </x:c>
      <x:c r="G14" s="2"/>
      <x:c r="H14" s="2"/>
      <x:c r="I14" s="2"/>
      <x:c r="J14" s="2"/>
      <x:c r="K14" s="2"/>
      <x:c r="L14" s="2"/>
      <x:c r="M14" s="2"/>
      <x:c r="N14" s="2"/>
      <x:c r="O14" s="2"/>
    </x:row>
    <x:row r="15" ht="38" customHeight="1">
      <x:c r="A15" s="90" t="str">
        <x:v>Initial installed assets (INR)</x:v>
      </x:c>
      <x:c r="B15" s="106" t="n">
        <x:v>450000</x:v>
      </x:c>
      <x:c r="C15" s="90" t="str">
        <x:v>Initial capex; further capex has a separate monthly row.</x:v>
      </x:c>
      <x:c r="D15" s="2"/>
      <x:c r="E15" s="2" t="n">
        <x:v>9</x:v>
      </x:c>
      <x:c r="F15" s="40" t="n">
        <x:f>L64</x:f>
        <x:v>359000.0000000014</x:v>
      </x:c>
      <x:c r="G15" s="2"/>
      <x:c r="H15" s="2"/>
      <x:c r="I15" s="2"/>
      <x:c r="J15" s="2"/>
      <x:c r="K15" s="2"/>
      <x:c r="L15" s="2"/>
      <x:c r="M15" s="2"/>
      <x:c r="N15" s="2"/>
      <x:c r="O15" s="2"/>
    </x:row>
    <x:row r="16" ht="38" customHeight="1">
      <x:c r="A16" s="90" t="str">
        <x:v>Refundable startup deposits (INR)</x:v>
      </x:c>
      <x:c r="B16" s="106" t="n">
        <x:v>120000</x:v>
      </x:c>
      <x:c r="C16" s="90" t="str">
        <x:v>Cash funding, not immediate operating expense.</x:v>
      </x:c>
      <x:c r="D16" s="2"/>
      <x:c r="E16" s="2" t="n">
        <x:v>10</x:v>
      </x:c>
      <x:c r="F16" s="40" t="n">
        <x:f>M64</x:f>
        <x:v>564230.0000000016</x:v>
      </x:c>
      <x:c r="G16" s="2"/>
      <x:c r="H16" s="2"/>
      <x:c r="I16" s="2"/>
      <x:c r="J16" s="2"/>
      <x:c r="K16" s="2"/>
      <x:c r="L16" s="2"/>
      <x:c r="M16" s="2"/>
      <x:c r="N16" s="2"/>
      <x:c r="O16" s="2"/>
    </x:row>
    <x:row r="17" ht="38" customHeight="1">
      <x:c r="A17" s="90" t="str">
        <x:v>Pre-opening expense (INR)</x:v>
      </x:c>
      <x:c r="B17" s="106" t="n">
        <x:v>140000</x:v>
      </x:c>
      <x:c r="C17" s="90" t="str">
        <x:v>Before month 1; excluded from forecast EBITDA.</x:v>
      </x:c>
      <x:c r="D17" s="2"/>
      <x:c r="E17" s="2" t="n">
        <x:v>11</x:v>
      </x:c>
      <x:c r="F17" s="40" t="n">
        <x:f>N64</x:f>
        <x:v>812000.0000000016</x:v>
      </x:c>
      <x:c r="G17" s="2"/>
      <x:c r="H17" s="2"/>
      <x:c r="I17" s="2"/>
      <x:c r="J17" s="2"/>
      <x:c r="K17" s="2"/>
      <x:c r="L17" s="2"/>
      <x:c r="M17" s="2"/>
      <x:c r="N17" s="2"/>
      <x:c r="O17" s="2"/>
    </x:row>
    <x:row r="18" ht="38" customHeight="1">
      <x:c r="A18" s="90" t="str">
        <x:v>Opening cash reserve (INR)</x:v>
      </x:c>
      <x:c r="B18" s="106" t="n">
        <x:v>650000</x:v>
      </x:c>
      <x:c r="C18" s="90" t="str">
        <x:v>May be insufficient: review minimum closing cash.</x:v>
      </x:c>
      <x:c r="D18" s="2"/>
      <x:c r="E18" s="2" t="n">
        <x:v>12</x:v>
      </x:c>
      <x:c r="F18" s="40" t="n">
        <x:f>O64</x:f>
        <x:v>1041230.0000000016</x:v>
      </x:c>
      <x:c r="G18" s="2"/>
      <x:c r="H18" s="2"/>
      <x:c r="I18" s="2"/>
      <x:c r="J18" s="2"/>
      <x:c r="K18" s="2"/>
      <x:c r="L18" s="2"/>
      <x:c r="M18" s="2"/>
      <x:c r="N18" s="2"/>
      <x:c r="O18" s="2"/>
    </x:row>
    <x:row r="19" ht="38" customHeight="1">
      <x:c r="A19" s="90" t="str">
        <x:v>Collection lag (days; 0–90)</x:v>
      </x:c>
      <x:c r="B19" s="108" t="n">
        <x:v>10</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35</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10</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4</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refurbished units sold.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80</x:v>
      </x:c>
      <x:c r="E36" s="41" t="n">
        <x:f>ROUND($B$8*E35*$B$25,0)</x:f>
        <x:v>104</x:v>
      </x:c>
      <x:c r="F36" s="41" t="n">
        <x:f>ROUND($B$8*F35*$B$25,0)</x:f>
        <x:v>128</x:v>
      </x:c>
      <x:c r="G36" s="41" t="n">
        <x:f>ROUND($B$8*G35*$B$25,0)</x:f>
        <x:v>144</x:v>
      </x:c>
      <x:c r="H36" s="41" t="n">
        <x:f>ROUND($B$8*H35*$B$25,0)</x:f>
        <x:v>152</x:v>
      </x:c>
      <x:c r="I36" s="41" t="n">
        <x:f>ROUND($B$8*I35*$B$25,0)</x:f>
        <x:v>160</x:v>
      </x:c>
      <x:c r="J36" s="41" t="n">
        <x:f>ROUND($B$8*J35*$B$25,0)</x:f>
        <x:v>160</x:v>
      </x:c>
      <x:c r="K36" s="41" t="n">
        <x:f>ROUND($B$8*K35*$B$25,0)</x:f>
        <x:v>168</x:v>
      </x:c>
      <x:c r="L36" s="41" t="n">
        <x:f>ROUND($B$8*L35*$B$25,0)</x:f>
        <x:v>168</x:v>
      </x:c>
      <x:c r="M36" s="41" t="n">
        <x:f>ROUND($B$8*M35*$B$25,0)</x:f>
        <x:v>176</x:v>
      </x:c>
      <x:c r="N36" s="41" t="n">
        <x:f>ROUND($B$8*N35*$B$25,0)</x:f>
        <x:v>176</x:v>
      </x:c>
      <x:c r="O36" s="41" t="n">
        <x:f>ROUND($B$8*O35*$B$25,0)</x:f>
        <x:v>184</x:v>
      </x:c>
    </x:row>
    <x:row r="37" ht="20" customHeight="1">
      <x:c r="A37" s="4" t="str">
        <x:v>Safe / saleable capacity</x:v>
      </x:c>
      <x:c r="B37" s="4"/>
      <x:c r="C37" s="4"/>
      <x:c r="D37" s="41" t="n">
        <x:f>$B$12</x:f>
        <x:v>300</x:v>
      </x:c>
      <x:c r="E37" s="41" t="n">
        <x:f>$B$12</x:f>
        <x:v>300</x:v>
      </x:c>
      <x:c r="F37" s="41" t="n">
        <x:f>$B$12</x:f>
        <x:v>300</x:v>
      </x:c>
      <x:c r="G37" s="41" t="n">
        <x:f>$B$12</x:f>
        <x:v>300</x:v>
      </x:c>
      <x:c r="H37" s="41" t="n">
        <x:f>$B$12</x:f>
        <x:v>300</x:v>
      </x:c>
      <x:c r="I37" s="41" t="n">
        <x:f>$B$12</x:f>
        <x:v>300</x:v>
      </x:c>
      <x:c r="J37" s="41" t="n">
        <x:f>$B$12</x:f>
        <x:v>300</x:v>
      </x:c>
      <x:c r="K37" s="41" t="n">
        <x:f>$B$12</x:f>
        <x:v>300</x:v>
      </x:c>
      <x:c r="L37" s="41" t="n">
        <x:f>$B$12</x:f>
        <x:v>300</x:v>
      </x:c>
      <x:c r="M37" s="41" t="n">
        <x:f>$B$12</x:f>
        <x:v>300</x:v>
      </x:c>
      <x:c r="N37" s="41" t="n">
        <x:f>$B$12</x:f>
        <x:v>300</x:v>
      </x:c>
      <x:c r="O37" s="41" t="n">
        <x:f>$B$12</x:f>
        <x:v>300</x:v>
      </x:c>
    </x:row>
    <x:row r="38" ht="20" customHeight="1">
      <x:c r="A38" s="4" t="str">
        <x:v>Capacity utilisation</x:v>
      </x:c>
      <x:c r="B38" s="4"/>
      <x:c r="C38" s="4"/>
      <x:c r="D38" s="46" t="n">
        <x:f>IF(D37&gt;0,D36/D37,0)</x:f>
        <x:v>0.26666666666666666</x:v>
      </x:c>
      <x:c r="E38" s="46" t="n">
        <x:f>IF(E37&gt;0,E36/E37,0)</x:f>
        <x:v>0.3466666666666667</x:v>
      </x:c>
      <x:c r="F38" s="46" t="n">
        <x:f>IF(F37&gt;0,F36/F37,0)</x:f>
        <x:v>0.4266666666666667</x:v>
      </x:c>
      <x:c r="G38" s="46" t="n">
        <x:f>IF(G37&gt;0,G36/G37,0)</x:f>
        <x:v>0.48</x:v>
      </x:c>
      <x:c r="H38" s="46" t="n">
        <x:f>IF(H37&gt;0,H36/H37,0)</x:f>
        <x:v>0.5066666666666667</x:v>
      </x:c>
      <x:c r="I38" s="46" t="n">
        <x:f>IF(I37&gt;0,I36/I37,0)</x:f>
        <x:v>0.5333333333333333</x:v>
      </x:c>
      <x:c r="J38" s="46" t="n">
        <x:f>IF(J37&gt;0,J36/J37,0)</x:f>
        <x:v>0.5333333333333333</x:v>
      </x:c>
      <x:c r="K38" s="46" t="n">
        <x:f>IF(K37&gt;0,K36/K37,0)</x:f>
        <x:v>0.56</x:v>
      </x:c>
      <x:c r="L38" s="46" t="n">
        <x:f>IF(L37&gt;0,L36/L37,0)</x:f>
        <x:v>0.56</x:v>
      </x:c>
      <x:c r="M38" s="46" t="n">
        <x:f>IF(M37&gt;0,M36/M37,0)</x:f>
        <x:v>0.5866666666666667</x:v>
      </x:c>
      <x:c r="N38" s="46" t="n">
        <x:f>IF(N37&gt;0,N36/N37,0)</x:f>
        <x:v>0.5866666666666667</x:v>
      </x:c>
      <x:c r="O38" s="46" t="n">
        <x:f>IF(O37&gt;0,O36/O37,0)</x:f>
        <x:v>0.6133333333333333</x:v>
      </x:c>
    </x:row>
    <x:row r="39" ht="20" customHeight="1">
      <x:c r="A39" s="4" t="str">
        <x:v>Net realised unit price</x:v>
      </x:c>
      <x:c r="B39" s="4"/>
      <x:c r="C39" s="4"/>
      <x:c r="D39" s="41" t="n">
        <x:f>$B$9*$B$26</x:f>
        <x:v>12000</x:v>
      </x:c>
      <x:c r="E39" s="41" t="n">
        <x:f>$B$9*$B$26</x:f>
        <x:v>12000</x:v>
      </x:c>
      <x:c r="F39" s="41" t="n">
        <x:f>$B$9*$B$26</x:f>
        <x:v>12000</x:v>
      </x:c>
      <x:c r="G39" s="41" t="n">
        <x:f>$B$9*$B$26</x:f>
        <x:v>12000</x:v>
      </x:c>
      <x:c r="H39" s="41" t="n">
        <x:f>$B$9*$B$26</x:f>
        <x:v>12000</x:v>
      </x:c>
      <x:c r="I39" s="41" t="n">
        <x:f>$B$9*$B$26</x:f>
        <x:v>12000</x:v>
      </x:c>
      <x:c r="J39" s="41" t="n">
        <x:f>$B$9*$B$26</x:f>
        <x:v>12000</x:v>
      </x:c>
      <x:c r="K39" s="41" t="n">
        <x:f>$B$9*$B$26</x:f>
        <x:v>12000</x:v>
      </x:c>
      <x:c r="L39" s="41" t="n">
        <x:f>$B$9*$B$26</x:f>
        <x:v>12000</x:v>
      </x:c>
      <x:c r="M39" s="41" t="n">
        <x:f>$B$9*$B$26</x:f>
        <x:v>12000</x:v>
      </x:c>
      <x:c r="N39" s="41" t="n">
        <x:f>$B$9*$B$26</x:f>
        <x:v>12000</x:v>
      </x:c>
      <x:c r="O39" s="41" t="n">
        <x:f>$B$9*$B$26</x:f>
        <x:v>12000</x:v>
      </x:c>
    </x:row>
    <x:row r="40" ht="20" customHeight="1">
      <x:c r="A40" s="60" t="str">
        <x:v>Revenue, excluding GST</x:v>
      </x:c>
      <x:c r="B40" s="60"/>
      <x:c r="C40" s="60"/>
      <x:c r="D40" s="61" t="n">
        <x:f>D36*D39</x:f>
        <x:v>960000</x:v>
      </x:c>
      <x:c r="E40" s="61" t="n">
        <x:f>E36*E39</x:f>
        <x:v>1248000</x:v>
      </x:c>
      <x:c r="F40" s="61" t="n">
        <x:f>F36*F39</x:f>
        <x:v>1536000</x:v>
      </x:c>
      <x:c r="G40" s="61" t="n">
        <x:f>G36*G39</x:f>
        <x:v>1728000</x:v>
      </x:c>
      <x:c r="H40" s="61" t="n">
        <x:f>H36*H39</x:f>
        <x:v>1824000</x:v>
      </x:c>
      <x:c r="I40" s="61" t="n">
        <x:f>I36*I39</x:f>
        <x:v>1920000</x:v>
      </x:c>
      <x:c r="J40" s="61" t="n">
        <x:f>J36*J39</x:f>
        <x:v>1920000</x:v>
      </x:c>
      <x:c r="K40" s="61" t="n">
        <x:f>K36*K39</x:f>
        <x:v>2016000</x:v>
      </x:c>
      <x:c r="L40" s="61" t="n">
        <x:f>L36*L39</x:f>
        <x:v>2016000</x:v>
      </x:c>
      <x:c r="M40" s="61" t="n">
        <x:f>M36*M39</x:f>
        <x:v>2112000</x:v>
      </x:c>
      <x:c r="N40" s="61" t="n">
        <x:f>N36*N39</x:f>
        <x:v>2112000</x:v>
      </x:c>
      <x:c r="O40" s="61" t="n">
        <x:f>O36*O39</x:f>
        <x:v>2208000</x:v>
      </x:c>
    </x:row>
    <x:row r="41" ht="20" customHeight="1">
      <x:c r="A41" s="4" t="str">
        <x:v>Variable cash cost</x:v>
      </x:c>
      <x:c r="B41" s="4"/>
      <x:c r="C41" s="4"/>
      <x:c r="D41" s="41" t="n">
        <x:f>D36*$B$10*$B$27</x:f>
        <x:v>720000</x:v>
      </x:c>
      <x:c r="E41" s="41" t="n">
        <x:f>E36*$B$10*$B$27</x:f>
        <x:v>936000</x:v>
      </x:c>
      <x:c r="F41" s="41" t="n">
        <x:f>F36*$B$10*$B$27</x:f>
        <x:v>1152000</x:v>
      </x:c>
      <x:c r="G41" s="41" t="n">
        <x:f>G36*$B$10*$B$27</x:f>
        <x:v>1296000</x:v>
      </x:c>
      <x:c r="H41" s="41" t="n">
        <x:f>H36*$B$10*$B$27</x:f>
        <x:v>1368000</x:v>
      </x:c>
      <x:c r="I41" s="41" t="n">
        <x:f>I36*$B$10*$B$27</x:f>
        <x:v>1440000</x:v>
      </x:c>
      <x:c r="J41" s="41" t="n">
        <x:f>J36*$B$10*$B$27</x:f>
        <x:v>1440000</x:v>
      </x:c>
      <x:c r="K41" s="41" t="n">
        <x:f>K36*$B$10*$B$27</x:f>
        <x:v>1512000</x:v>
      </x:c>
      <x:c r="L41" s="41" t="n">
        <x:f>L36*$B$10*$B$27</x:f>
        <x:v>1512000</x:v>
      </x:c>
      <x:c r="M41" s="41" t="n">
        <x:f>M36*$B$10*$B$27</x:f>
        <x:v>1584000</x:v>
      </x:c>
      <x:c r="N41" s="41" t="n">
        <x:f>N36*$B$10*$B$27</x:f>
        <x:v>1584000</x:v>
      </x:c>
      <x:c r="O41" s="41" t="n">
        <x:f>O36*$B$10*$B$27</x:f>
        <x:v>1656000</x:v>
      </x:c>
    </x:row>
    <x:row r="42" ht="20" customHeight="1">
      <x:c r="A42" s="4" t="str">
        <x:v>Contribution</x:v>
      </x:c>
      <x:c r="B42" s="4"/>
      <x:c r="C42" s="4"/>
      <x:c r="D42" s="41" t="n">
        <x:f>D40-D41</x:f>
        <x:v>240000</x:v>
      </x:c>
      <x:c r="E42" s="41" t="n">
        <x:f>E40-E41</x:f>
        <x:v>312000</x:v>
      </x:c>
      <x:c r="F42" s="41" t="n">
        <x:f>F40-F41</x:f>
        <x:v>384000</x:v>
      </x:c>
      <x:c r="G42" s="41" t="n">
        <x:f>G40-G41</x:f>
        <x:v>432000</x:v>
      </x:c>
      <x:c r="H42" s="41" t="n">
        <x:f>H40-H41</x:f>
        <x:v>456000</x:v>
      </x:c>
      <x:c r="I42" s="41" t="n">
        <x:f>I40-I41</x:f>
        <x:v>480000</x:v>
      </x:c>
      <x:c r="J42" s="41" t="n">
        <x:f>J40-J41</x:f>
        <x:v>480000</x:v>
      </x:c>
      <x:c r="K42" s="41" t="n">
        <x:f>K40-K41</x:f>
        <x:v>504000</x:v>
      </x:c>
      <x:c r="L42" s="41" t="n">
        <x:f>L40-L41</x:f>
        <x:v>504000</x:v>
      </x:c>
      <x:c r="M42" s="41" t="n">
        <x:f>M40-M41</x:f>
        <x:v>528000</x:v>
      </x:c>
      <x:c r="N42" s="41" t="n">
        <x:f>N40-N41</x:f>
        <x:v>528000</x:v>
      </x:c>
      <x:c r="O42" s="41" t="n">
        <x:f>O40-O41</x:f>
        <x:v>552000</x:v>
      </x:c>
    </x:row>
    <x:row r="43" ht="20" customHeight="1">
      <x:c r="A43" s="4" t="str">
        <x:v>Fixed cash cost</x:v>
      </x:c>
      <x:c r="B43" s="4"/>
      <x:c r="C43" s="4"/>
      <x:c r="D43" s="41" t="n">
        <x:f>$B$11*$B$28</x:f>
        <x:v>260000</x:v>
      </x:c>
      <x:c r="E43" s="41" t="n">
        <x:f>$B$11*$B$28</x:f>
        <x:v>260000</x:v>
      </x:c>
      <x:c r="F43" s="41" t="n">
        <x:f>$B$11*$B$28</x:f>
        <x:v>260000</x:v>
      </x:c>
      <x:c r="G43" s="41" t="n">
        <x:f>$B$11*$B$28</x:f>
        <x:v>260000</x:v>
      </x:c>
      <x:c r="H43" s="41" t="n">
        <x:f>$B$11*$B$28</x:f>
        <x:v>260000</x:v>
      </x:c>
      <x:c r="I43" s="41" t="n">
        <x:f>$B$11*$B$28</x:f>
        <x:v>260000</x:v>
      </x:c>
      <x:c r="J43" s="41" t="n">
        <x:f>$B$11*$B$28</x:f>
        <x:v>260000</x:v>
      </x:c>
      <x:c r="K43" s="41" t="n">
        <x:f>$B$11*$B$28</x:f>
        <x:v>260000</x:v>
      </x:c>
      <x:c r="L43" s="41" t="n">
        <x:f>$B$11*$B$28</x:f>
        <x:v>260000</x:v>
      </x:c>
      <x:c r="M43" s="41" t="n">
        <x:f>$B$11*$B$28</x:f>
        <x:v>260000</x:v>
      </x:c>
      <x:c r="N43" s="41" t="n">
        <x:f>$B$11*$B$28</x:f>
        <x:v>260000</x:v>
      </x:c>
      <x:c r="O43" s="41" t="n">
        <x:f>$B$11*$B$28</x:f>
        <x:v>260000</x:v>
      </x:c>
    </x:row>
    <x:row r="44" ht="20" customHeight="1">
      <x:c r="A44" s="60" t="str">
        <x:v>Operating cash profit (EBITDA)</x:v>
      </x:c>
      <x:c r="B44" s="60"/>
      <x:c r="C44" s="60"/>
      <x:c r="D44" s="61" t="n">
        <x:f>D42-D43</x:f>
        <x:v>-20000</x:v>
      </x:c>
      <x:c r="E44" s="61" t="n">
        <x:f>E42-E43</x:f>
        <x:v>52000</x:v>
      </x:c>
      <x:c r="F44" s="61" t="n">
        <x:f>F42-F43</x:f>
        <x:v>124000</x:v>
      </x:c>
      <x:c r="G44" s="61" t="n">
        <x:f>G42-G43</x:f>
        <x:v>172000</x:v>
      </x:c>
      <x:c r="H44" s="61" t="n">
        <x:f>H42-H43</x:f>
        <x:v>196000</x:v>
      </x:c>
      <x:c r="I44" s="61" t="n">
        <x:f>I42-I43</x:f>
        <x:v>220000</x:v>
      </x:c>
      <x:c r="J44" s="61" t="n">
        <x:f>J42-J43</x:f>
        <x:v>220000</x:v>
      </x:c>
      <x:c r="K44" s="61" t="n">
        <x:f>K42-K43</x:f>
        <x:v>244000</x:v>
      </x:c>
      <x:c r="L44" s="61" t="n">
        <x:f>L42-L43</x:f>
        <x:v>244000</x:v>
      </x:c>
      <x:c r="M44" s="61" t="n">
        <x:f>M42-M43</x:f>
        <x:v>268000</x:v>
      </x:c>
      <x:c r="N44" s="61" t="n">
        <x:f>N42-N43</x:f>
        <x:v>268000</x:v>
      </x:c>
      <x:c r="O44" s="61" t="n">
        <x:f>O42-O43</x:f>
        <x:v>292000</x:v>
      </x:c>
    </x:row>
    <x:row r="45" ht="20" customHeight="1">
      <x:c r="A45" s="4" t="str">
        <x:v>Illustrative depreciation</x:v>
      </x:c>
      <x:c r="B45" s="4"/>
      <x:c r="C45" s="4"/>
      <x:c r="D45" s="41" t="n">
        <x:f>IF($B$22&gt;0,$B$15/$B$22/12,0)</x:f>
        <x:v>9375</x:v>
      </x:c>
      <x:c r="E45" s="41" t="n">
        <x:f>IF($B$22&gt;0,$B$15/$B$22/12,0)</x:f>
        <x:v>9375</x:v>
      </x:c>
      <x:c r="F45" s="41" t="n">
        <x:f>IF($B$22&gt;0,$B$15/$B$22/12,0)</x:f>
        <x:v>9375</x:v>
      </x:c>
      <x:c r="G45" s="41" t="n">
        <x:f>IF($B$22&gt;0,$B$15/$B$22/12,0)</x:f>
        <x:v>9375</x:v>
      </x:c>
      <x:c r="H45" s="41" t="n">
        <x:f>IF($B$22&gt;0,$B$15/$B$22/12,0)</x:f>
        <x:v>9375</x:v>
      </x:c>
      <x:c r="I45" s="41" t="n">
        <x:f>IF($B$22&gt;0,$B$15/$B$22/12,0)</x:f>
        <x:v>9375</x:v>
      </x:c>
      <x:c r="J45" s="41" t="n">
        <x:f>IF($B$22&gt;0,$B$15/$B$22/12,0)</x:f>
        <x:v>9375</x:v>
      </x:c>
      <x:c r="K45" s="41" t="n">
        <x:f>IF($B$22&gt;0,$B$15/$B$22/12,0)</x:f>
        <x:v>9375</x:v>
      </x:c>
      <x:c r="L45" s="41" t="n">
        <x:f>IF($B$22&gt;0,$B$15/$B$22/12,0)</x:f>
        <x:v>9375</x:v>
      </x:c>
      <x:c r="M45" s="41" t="n">
        <x:f>IF($B$22&gt;0,$B$15/$B$22/12,0)</x:f>
        <x:v>9375</x:v>
      </x:c>
      <x:c r="N45" s="41" t="n">
        <x:f>IF($B$22&gt;0,$B$15/$B$22/12,0)</x:f>
        <x:v>9375</x:v>
      </x:c>
      <x:c r="O45" s="41" t="n">
        <x:f>IF($B$22&gt;0,$B$15/$B$22/12,0)</x:f>
        <x:v>9375</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-29375</x:v>
      </x:c>
      <x:c r="E50" s="61" t="n">
        <x:f>E44-E45-E47</x:f>
        <x:v>42625</x:v>
      </x:c>
      <x:c r="F50" s="61" t="n">
        <x:f>F44-F45-F47</x:f>
        <x:v>114625</x:v>
      </x:c>
      <x:c r="G50" s="61" t="n">
        <x:f>G44-G45-G47</x:f>
        <x:v>162625</x:v>
      </x:c>
      <x:c r="H50" s="61" t="n">
        <x:f>H44-H45-H47</x:f>
        <x:v>186625</x:v>
      </x:c>
      <x:c r="I50" s="61" t="n">
        <x:f>I44-I45-I47</x:f>
        <x:v>210625</x:v>
      </x:c>
      <x:c r="J50" s="61" t="n">
        <x:f>J44-J45-J47</x:f>
        <x:v>210625</x:v>
      </x:c>
      <x:c r="K50" s="61" t="n">
        <x:f>K44-K45-K47</x:f>
        <x:v>234625</x:v>
      </x:c>
      <x:c r="L50" s="61" t="n">
        <x:f>L44-L45-L47</x:f>
        <x:v>234625</x:v>
      </x:c>
      <x:c r="M50" s="61" t="n">
        <x:f>M44-M45-M47</x:f>
        <x:v>258625</x:v>
      </x:c>
      <x:c r="N50" s="61" t="n">
        <x:f>N44-N45-N47</x:f>
        <x:v>258625</x:v>
      </x:c>
      <x:c r="O50" s="61" t="n">
        <x:f>O44-O45-O47</x:f>
        <x:v>282625</x:v>
      </x:c>
    </x:row>
    <x:row r="51" ht="20" customHeight="1">
      <x:c r="A51" s="4" t="str">
        <x:v>Customer cash receipts</x:v>
      </x:c>
      <x:c r="B51" s="4"/>
      <x:c r="C51" s="4"/>
      <x:c r="D51" s="41" t="n">
        <x:f>IF($B$19&lt;30,D40*(1-$B$19/30)+0*$B$19/30,IF($B$19&lt;60,0*(2-$B$19/30)+0*($B$19/30-1),IF($B$19&lt;=90,0*(3-$B$19/30)+0*($B$19/30-2),0)))</x:f>
        <x:v>640000.0000000001</x:v>
      </x:c>
      <x:c r="E51" s="41" t="n">
        <x:f>IF($B$19&lt;30,E40*(1-$B$19/30)+D40*$B$19/30,IF($B$19&lt;60,D40*(2-$B$19/30)+0*($B$19/30-1),IF($B$19&lt;=90,0*(3-$B$19/30)+0*($B$19/30-2),0)))</x:f>
        <x:v>1152000</x:v>
      </x:c>
      <x:c r="F51" s="41" t="n">
        <x:f>IF($B$19&lt;30,F40*(1-$B$19/30)+E40*$B$19/30,IF($B$19&lt;60,E40*(2-$B$19/30)+D40*($B$19/30-1),IF($B$19&lt;=90,D40*(3-$B$19/30)+0*($B$19/30-2),0)))</x:f>
        <x:v>1440000</x:v>
      </x:c>
      <x:c r="G51" s="41" t="n">
        <x:f>IF($B$19&lt;30,G40*(1-$B$19/30)+F40*$B$19/30,IF($B$19&lt;60,F40*(2-$B$19/30)+E40*($B$19/30-1),IF($B$19&lt;=90,E40*(3-$B$19/30)+D40*($B$19/30-2),0)))</x:f>
        <x:v>1664000.0000000002</x:v>
      </x:c>
      <x:c r="H51" s="41" t="n">
        <x:f>IF($B$19&lt;30,H40*(1-$B$19/30)+G40*$B$19/30,IF($B$19&lt;60,G40*(2-$B$19/30)+F40*($B$19/30-1),IF($B$19&lt;=90,F40*(3-$B$19/30)+E40*($B$19/30-2),0)))</x:f>
        <x:v>1792000.0000000002</x:v>
      </x:c>
      <x:c r="I51" s="41" t="n">
        <x:f>IF($B$19&lt;30,I40*(1-$B$19/30)+H40*$B$19/30,IF($B$19&lt;60,H40*(2-$B$19/30)+G40*($B$19/30-1),IF($B$19&lt;=90,G40*(3-$B$19/30)+F40*($B$19/30-2),0)))</x:f>
        <x:v>1888000.0000000002</x:v>
      </x:c>
      <x:c r="J51" s="41" t="n">
        <x:f>IF($B$19&lt;30,J40*(1-$B$19/30)+I40*$B$19/30,IF($B$19&lt;60,I40*(2-$B$19/30)+H40*($B$19/30-1),IF($B$19&lt;=90,H40*(3-$B$19/30)+G40*($B$19/30-2),0)))</x:f>
        <x:v>1920000.0000000002</x:v>
      </x:c>
      <x:c r="K51" s="41" t="n">
        <x:f>IF($B$19&lt;30,K40*(1-$B$19/30)+J40*$B$19/30,IF($B$19&lt;60,J40*(2-$B$19/30)+I40*($B$19/30-1),IF($B$19&lt;=90,I40*(3-$B$19/30)+H40*($B$19/30-2),0)))</x:f>
        <x:v>1984000.0000000002</x:v>
      </x:c>
      <x:c r="L51" s="41" t="n">
        <x:f>IF($B$19&lt;30,L40*(1-$B$19/30)+K40*$B$19/30,IF($B$19&lt;60,K40*(2-$B$19/30)+J40*($B$19/30-1),IF($B$19&lt;=90,J40*(3-$B$19/30)+I40*($B$19/30-2),0)))</x:f>
        <x:v>2016000.0000000002</x:v>
      </x:c>
      <x:c r="M51" s="41" t="n">
        <x:f>IF($B$19&lt;30,M40*(1-$B$19/30)+L40*$B$19/30,IF($B$19&lt;60,L40*(2-$B$19/30)+K40*($B$19/30-1),IF($B$19&lt;=90,K40*(3-$B$19/30)+J40*($B$19/30-2),0)))</x:f>
        <x:v>2080000.0000000002</x:v>
      </x:c>
      <x:c r="N51" s="41" t="n">
        <x:f>IF($B$19&lt;30,N40*(1-$B$19/30)+M40*$B$19/30,IF($B$19&lt;60,M40*(2-$B$19/30)+L40*($B$19/30-1),IF($B$19&lt;=90,L40*(3-$B$19/30)+K40*($B$19/30-2),0)))</x:f>
        <x:v>2112000</x:v>
      </x:c>
      <x:c r="O51" s="41" t="n">
        <x:f>IF($B$19&lt;30,O40*(1-$B$19/30)+N40*$B$19/30,IF($B$19&lt;60,N40*(2-$B$19/30)+M40*($B$19/30-1),IF($B$19&lt;=90,M40*(3-$B$19/30)+L40*($B$19/30-2),0)))</x:f>
        <x:v>2176000</x:v>
      </x:c>
    </x:row>
    <x:row r="52" ht="20" customHeight="1">
      <x:c r="A52" s="4" t="str">
        <x:v>Closing receivables</x:v>
      </x:c>
      <x:c r="B52" s="4"/>
      <x:c r="C52" s="4"/>
      <x:c r="D52" s="41" t="n">
        <x:f>0+D40-D51</x:f>
        <x:v>319999.9999999999</x:v>
      </x:c>
      <x:c r="E52" s="41" t="n">
        <x:f>D52+E40-E51</x:f>
        <x:v>416000</x:v>
      </x:c>
      <x:c r="F52" s="41" t="n">
        <x:f>E52+F40-F51</x:f>
        <x:v>512000</x:v>
      </x:c>
      <x:c r="G52" s="41" t="n">
        <x:f>F52+G40-G51</x:f>
        <x:v>575999.9999999998</x:v>
      </x:c>
      <x:c r="H52" s="41" t="n">
        <x:f>G52+H40-H51</x:f>
        <x:v>607999.9999999998</x:v>
      </x:c>
      <x:c r="I52" s="41" t="n">
        <x:f>H52+I40-I51</x:f>
        <x:v>639999.9999999998</x:v>
      </x:c>
      <x:c r="J52" s="41" t="n">
        <x:f>I52+J40-J51</x:f>
        <x:v>639999.9999999998</x:v>
      </x:c>
      <x:c r="K52" s="41" t="n">
        <x:f>J52+K40-K51</x:f>
        <x:v>671999.9999999998</x:v>
      </x:c>
      <x:c r="L52" s="41" t="n">
        <x:f>K52+L40-L51</x:f>
        <x:v>671999.9999999998</x:v>
      </x:c>
      <x:c r="M52" s="41" t="n">
        <x:f>L52+M40-M51</x:f>
        <x:v>703999.9999999998</x:v>
      </x:c>
      <x:c r="N52" s="41" t="n">
        <x:f>M52+N40-N51</x:f>
        <x:v>704000</x:v>
      </x:c>
      <x:c r="O52" s="41" t="n">
        <x:f>N52+O40-O51</x:f>
        <x:v>736000</x:v>
      </x:c>
    </x:row>
    <x:row r="53" ht="20" customHeight="1">
      <x:c r="A53" s="4" t="str">
        <x:v>Closing inventory target</x:v>
      </x:c>
      <x:c r="B53" s="4"/>
      <x:c r="C53" s="4"/>
      <x:c r="D53" s="41" t="n">
        <x:f>D41*$B$13*$B$20/30</x:f>
        <x:v>714000</x:v>
      </x:c>
      <x:c r="E53" s="41" t="n">
        <x:f>E41*$B$13*$B$20/30</x:f>
        <x:v>928200</x:v>
      </x:c>
      <x:c r="F53" s="41" t="n">
        <x:f>F41*$B$13*$B$20/30</x:f>
        <x:v>1142400</x:v>
      </x:c>
      <x:c r="G53" s="41" t="n">
        <x:f>G41*$B$13*$B$20/30</x:f>
        <x:v>1285200</x:v>
      </x:c>
      <x:c r="H53" s="41" t="n">
        <x:f>H41*$B$13*$B$20/30</x:f>
        <x:v>1356600</x:v>
      </x:c>
      <x:c r="I53" s="41" t="n">
        <x:f>I41*$B$13*$B$20/30</x:f>
        <x:v>1428000</x:v>
      </x:c>
      <x:c r="J53" s="41" t="n">
        <x:f>J41*$B$13*$B$20/30</x:f>
        <x:v>1428000</x:v>
      </x:c>
      <x:c r="K53" s="41" t="n">
        <x:f>K41*$B$13*$B$20/30</x:f>
        <x:v>1499400</x:v>
      </x:c>
      <x:c r="L53" s="41" t="n">
        <x:f>L41*$B$13*$B$20/30</x:f>
        <x:v>1499400</x:v>
      </x:c>
      <x:c r="M53" s="41" t="n">
        <x:f>M41*$B$13*$B$20/30</x:f>
        <x:v>1570800</x:v>
      </x:c>
      <x:c r="N53" s="41" t="n">
        <x:f>N41*$B$13*$B$20/30</x:f>
        <x:v>1570800</x:v>
      </x:c>
      <x:c r="O53" s="41" t="n">
        <x:f>O41*$B$13*$B$20/30</x:f>
        <x:v>1642200</x:v>
      </x:c>
    </x:row>
    <x:row r="54" ht="20" customHeight="1">
      <x:c r="A54" s="4" t="str">
        <x:v>Change in inventory</x:v>
      </x:c>
      <x:c r="B54" s="4"/>
      <x:c r="C54" s="4"/>
      <x:c r="D54" s="41" t="n">
        <x:f>D53-0</x:f>
        <x:v>714000</x:v>
      </x:c>
      <x:c r="E54" s="41" t="n">
        <x:f>E53-D53</x:f>
        <x:v>214200</x:v>
      </x:c>
      <x:c r="F54" s="41" t="n">
        <x:f>F53-E53</x:f>
        <x:v>214200</x:v>
      </x:c>
      <x:c r="G54" s="41" t="n">
        <x:f>G53-F53</x:f>
        <x:v>142800</x:v>
      </x:c>
      <x:c r="H54" s="41" t="n">
        <x:f>H53-G53</x:f>
        <x:v>71400</x:v>
      </x:c>
      <x:c r="I54" s="41" t="n">
        <x:f>I53-H53</x:f>
        <x:v>71400</x:v>
      </x:c>
      <x:c r="J54" s="41" t="n">
        <x:f>J53-I53</x:f>
        <x:v>0</x:v>
      </x:c>
      <x:c r="K54" s="41" t="n">
        <x:f>K53-J53</x:f>
        <x:v>71400</x:v>
      </x:c>
      <x:c r="L54" s="41" t="n">
        <x:f>L53-K53</x:f>
        <x:v>0</x:v>
      </x:c>
      <x:c r="M54" s="41" t="n">
        <x:f>M53-L53</x:f>
        <x:v>71400</x:v>
      </x:c>
      <x:c r="N54" s="41" t="n">
        <x:f>N53-M53</x:f>
        <x:v>0</x:v>
      </x:c>
      <x:c r="O54" s="41" t="n">
        <x:f>O53-N53</x:f>
        <x:v>71400</x:v>
      </x:c>
    </x:row>
    <x:row r="55" ht="20" customHeight="1">
      <x:c r="A55" s="4" t="str">
        <x:v>Purchases / variable cash obligation</x:v>
      </x:c>
      <x:c r="B55" s="4"/>
      <x:c r="C55" s="4"/>
      <x:c r="D55" s="41" t="n">
        <x:f>D41+D54</x:f>
        <x:v>1434000</x:v>
      </x:c>
      <x:c r="E55" s="41" t="n">
        <x:f>E41+E54</x:f>
        <x:v>1150200</x:v>
      </x:c>
      <x:c r="F55" s="41" t="n">
        <x:f>F41+F54</x:f>
        <x:v>1366200</x:v>
      </x:c>
      <x:c r="G55" s="41" t="n">
        <x:f>G41+G54</x:f>
        <x:v>1438800</x:v>
      </x:c>
      <x:c r="H55" s="41" t="n">
        <x:f>H41+H54</x:f>
        <x:v>1439400</x:v>
      </x:c>
      <x:c r="I55" s="41" t="n">
        <x:f>I41+I54</x:f>
        <x:v>1511400</x:v>
      </x:c>
      <x:c r="J55" s="41" t="n">
        <x:f>J41+J54</x:f>
        <x:v>1440000</x:v>
      </x:c>
      <x:c r="K55" s="41" t="n">
        <x:f>K41+K54</x:f>
        <x:v>1583400</x:v>
      </x:c>
      <x:c r="L55" s="41" t="n">
        <x:f>L41+L54</x:f>
        <x:v>1512000</x:v>
      </x:c>
      <x:c r="M55" s="41" t="n">
        <x:f>M41+M54</x:f>
        <x:v>1655400</x:v>
      </x:c>
      <x:c r="N55" s="41" t="n">
        <x:f>N41+N54</x:f>
        <x:v>1584000</x:v>
      </x:c>
      <x:c r="O55" s="41" t="n">
        <x:f>O41+O54</x:f>
        <x:v>1727400</x:v>
      </x:c>
    </x:row>
    <x:row r="56" ht="20" customHeight="1">
      <x:c r="A56" s="4" t="str">
        <x:v>Credit-eligible purchases</x:v>
      </x:c>
      <x:c r="B56" s="4"/>
      <x:c r="C56" s="4"/>
      <x:c r="D56" s="41" t="n">
        <x:f>D55*$B$14</x:f>
        <x:v>1218900</x:v>
      </x:c>
      <x:c r="E56" s="41" t="n">
        <x:f>E55*$B$14</x:f>
        <x:v>977670</x:v>
      </x:c>
      <x:c r="F56" s="41" t="n">
        <x:f>F55*$B$14</x:f>
        <x:v>1161270</x:v>
      </x:c>
      <x:c r="G56" s="41" t="n">
        <x:f>G55*$B$14</x:f>
        <x:v>1222980</x:v>
      </x:c>
      <x:c r="H56" s="41" t="n">
        <x:f>H55*$B$14</x:f>
        <x:v>1223490</x:v>
      </x:c>
      <x:c r="I56" s="41" t="n">
        <x:f>I55*$B$14</x:f>
        <x:v>1284690</x:v>
      </x:c>
      <x:c r="J56" s="41" t="n">
        <x:f>J55*$B$14</x:f>
        <x:v>1224000</x:v>
      </x:c>
      <x:c r="K56" s="41" t="n">
        <x:f>K55*$B$14</x:f>
        <x:v>1345890</x:v>
      </x:c>
      <x:c r="L56" s="41" t="n">
        <x:f>L55*$B$14</x:f>
        <x:v>1285200</x:v>
      </x:c>
      <x:c r="M56" s="41" t="n">
        <x:f>M55*$B$14</x:f>
        <x:v>1407090</x:v>
      </x:c>
      <x:c r="N56" s="41" t="n">
        <x:f>N55*$B$14</x:f>
        <x:v>1346400</x:v>
      </x:c>
      <x:c r="O56" s="41" t="n">
        <x:f>O55*$B$14</x:f>
        <x:v>1468290</x:v>
      </x:c>
    </x:row>
    <x:row r="57" ht="20" customHeight="1">
      <x:c r="A57" s="4" t="str">
        <x:v>Cash paid for variable costs</x:v>
      </x:c>
      <x:c r="B57" s="4"/>
      <x:c r="C57" s="4"/>
      <x:c r="D57" s="41" t="n">
        <x:f>D55-D56+IF($B$21&lt;30,D56*(1-$B$21/30)+0*$B$21/30,IF($B$21&lt;60,0*(2-$B$21/30)+0*($B$21/30-1),IF($B$21&lt;=90,0*(3-$B$21/30)+0*($B$21/30-2),0)))</x:f>
        <x:v>1027700.0000000001</x:v>
      </x:c>
      <x:c r="E57" s="41" t="n">
        <x:f>E55-E56+IF($B$21&lt;30,E56*(1-$B$21/30)+D56*$B$21/30,IF($B$21&lt;60,D56*(2-$B$21/30)+0*($B$21/30-1),IF($B$21&lt;=90,0*(3-$B$21/30)+0*($B$21/30-2),0)))</x:f>
        <x:v>1230610</x:v>
      </x:c>
      <x:c r="F57" s="41" t="n">
        <x:f>F55-F56+IF($B$21&lt;30,F56*(1-$B$21/30)+E56*$B$21/30,IF($B$21&lt;60,E56*(2-$B$21/30)+D56*($B$21/30-1),IF($B$21&lt;=90,D56*(3-$B$21/30)+0*($B$21/30-2),0)))</x:f>
        <x:v>1305000</x:v>
      </x:c>
      <x:c r="G57" s="41" t="n">
        <x:f>G55-G56+IF($B$21&lt;30,G56*(1-$B$21/30)+F56*$B$21/30,IF($B$21&lt;60,F56*(2-$B$21/30)+E56*($B$21/30-1),IF($B$21&lt;=90,E56*(3-$B$21/30)+D56*($B$21/30-2),0)))</x:f>
        <x:v>1418230</x:v>
      </x:c>
      <x:c r="H57" s="41" t="n">
        <x:f>H55-H56+IF($B$21&lt;30,H56*(1-$B$21/30)+G56*$B$21/30,IF($B$21&lt;60,G56*(2-$B$21/30)+F56*($B$21/30-1),IF($B$21&lt;=90,F56*(3-$B$21/30)+E56*($B$21/30-2),0)))</x:f>
        <x:v>1439230</x:v>
      </x:c>
      <x:c r="I57" s="41" t="n">
        <x:f>I55-I56+IF($B$21&lt;30,I56*(1-$B$21/30)+H56*$B$21/30,IF($B$21&lt;60,H56*(2-$B$21/30)+G56*($B$21/30-1),IF($B$21&lt;=90,G56*(3-$B$21/30)+F56*($B$21/30-2),0)))</x:f>
        <x:v>1491000</x:v>
      </x:c>
      <x:c r="J57" s="41" t="n">
        <x:f>J55-J56+IF($B$21&lt;30,J56*(1-$B$21/30)+I56*$B$21/30,IF($B$21&lt;60,I56*(2-$B$21/30)+H56*($B$21/30-1),IF($B$21&lt;=90,H56*(3-$B$21/30)+G56*($B$21/30-2),0)))</x:f>
        <x:v>1460230</x:v>
      </x:c>
      <x:c r="K57" s="41" t="n">
        <x:f>K55-K56+IF($B$21&lt;30,K56*(1-$B$21/30)+J56*$B$21/30,IF($B$21&lt;60,J56*(2-$B$21/30)+I56*($B$21/30-1),IF($B$21&lt;=90,I56*(3-$B$21/30)+H56*($B$21/30-2),0)))</x:f>
        <x:v>1542770</x:v>
      </x:c>
      <x:c r="L57" s="41" t="n">
        <x:f>L55-L56+IF($B$21&lt;30,L56*(1-$B$21/30)+K56*$B$21/30,IF($B$21&lt;60,K56*(2-$B$21/30)+J56*($B$21/30-1),IF($B$21&lt;=90,J56*(3-$B$21/30)+I56*($B$21/30-2),0)))</x:f>
        <x:v>1532230</x:v>
      </x:c>
      <x:c r="M57" s="41" t="n">
        <x:f>M55-M56+IF($B$21&lt;30,M56*(1-$B$21/30)+L56*$B$21/30,IF($B$21&lt;60,L56*(2-$B$21/30)+K56*($B$21/30-1),IF($B$21&lt;=90,K56*(3-$B$21/30)+J56*($B$21/30-2),0)))</x:f>
        <x:v>1614770</x:v>
      </x:c>
      <x:c r="N57" s="41" t="n">
        <x:f>N55-N56+IF($B$21&lt;30,N56*(1-$B$21/30)+M56*$B$21/30,IF($B$21&lt;60,M56*(2-$B$21/30)+L56*($B$21/30-1),IF($B$21&lt;=90,L56*(3-$B$21/30)+K56*($B$21/30-2),0)))</x:f>
        <x:v>1604230</x:v>
      </x:c>
      <x:c r="O57" s="41" t="n">
        <x:f>O55-O56+IF($B$21&lt;30,O56*(1-$B$21/30)+N56*$B$21/30,IF($B$21&lt;60,N56*(2-$B$21/30)+M56*($B$21/30-1),IF($B$21&lt;=90,M56*(3-$B$21/30)+L56*($B$21/30-2),0)))</x:f>
        <x:v>1686770</x:v>
      </x:c>
    </x:row>
    <x:row r="58" ht="20" customHeight="1">
      <x:c r="A58" s="4" t="str">
        <x:v>Closing trade payables</x:v>
      </x:c>
      <x:c r="B58" s="4"/>
      <x:c r="C58" s="4"/>
      <x:c r="D58" s="41" t="n">
        <x:f>0+D56-(IF($B$21&lt;30,D56*(1-$B$21/30)+0*$B$21/30,IF($B$21&lt;60,0*(2-$B$21/30)+0*($B$21/30-1),IF($B$21&lt;=90,0*(3-$B$21/30)+0*($B$21/30-2),0))))</x:f>
        <x:v>406299.9999999999</x:v>
      </x:c>
      <x:c r="E58" s="41" t="n">
        <x:f>D58+E56-(IF($B$21&lt;30,E56*(1-$B$21/30)+D56*$B$21/30,IF($B$21&lt;60,D56*(2-$B$21/30)+0*($B$21/30-1),IF($B$21&lt;=90,0*(3-$B$21/30)+0*($B$21/30-2),0))))</x:f>
        <x:v>325890</x:v>
      </x:c>
      <x:c r="F58" s="41" t="n">
        <x:f>E58+F56-(IF($B$21&lt;30,F56*(1-$B$21/30)+E56*$B$21/30,IF($B$21&lt;60,E56*(2-$B$21/30)+D56*($B$21/30-1),IF($B$21&lt;=90,D56*(3-$B$21/30)+0*($B$21/30-2),0))))</x:f>
        <x:v>387090</x:v>
      </x:c>
      <x:c r="G58" s="41" t="n">
        <x:f>F58+G56-(IF($B$21&lt;30,G56*(1-$B$21/30)+F56*$B$21/30,IF($B$21&lt;60,F56*(2-$B$21/30)+E56*($B$21/30-1),IF($B$21&lt;=90,E56*(3-$B$21/30)+D56*($B$21/30-2),0))))</x:f>
        <x:v>407660</x:v>
      </x:c>
      <x:c r="H58" s="41" t="n">
        <x:f>G58+H56-(IF($B$21&lt;30,H56*(1-$B$21/30)+G56*$B$21/30,IF($B$21&lt;60,G56*(2-$B$21/30)+F56*($B$21/30-1),IF($B$21&lt;=90,F56*(3-$B$21/30)+E56*($B$21/30-2),0))))</x:f>
        <x:v>407830</x:v>
      </x:c>
      <x:c r="I58" s="41" t="n">
        <x:f>H58+I56-(IF($B$21&lt;30,I56*(1-$B$21/30)+H56*$B$21/30,IF($B$21&lt;60,H56*(2-$B$21/30)+G56*($B$21/30-1),IF($B$21&lt;=90,G56*(3-$B$21/30)+F56*($B$21/30-2),0))))</x:f>
        <x:v>428230</x:v>
      </x:c>
      <x:c r="J58" s="41" t="n">
        <x:f>I58+J56-(IF($B$21&lt;30,J56*(1-$B$21/30)+I56*$B$21/30,IF($B$21&lt;60,I56*(2-$B$21/30)+H56*($B$21/30-1),IF($B$21&lt;=90,H56*(3-$B$21/30)+G56*($B$21/30-2),0))))</x:f>
        <x:v>408000</x:v>
      </x:c>
      <x:c r="K58" s="41" t="n">
        <x:f>J58+K56-(IF($B$21&lt;30,K56*(1-$B$21/30)+J56*$B$21/30,IF($B$21&lt;60,J56*(2-$B$21/30)+I56*($B$21/30-1),IF($B$21&lt;=90,I56*(3-$B$21/30)+H56*($B$21/30-2),0))))</x:f>
        <x:v>448630</x:v>
      </x:c>
      <x:c r="L58" s="41" t="n">
        <x:f>K58+L56-(IF($B$21&lt;30,L56*(1-$B$21/30)+K56*$B$21/30,IF($B$21&lt;60,K56*(2-$B$21/30)+J56*($B$21/30-1),IF($B$21&lt;=90,J56*(3-$B$21/30)+I56*($B$21/30-2),0))))</x:f>
        <x:v>428400</x:v>
      </x:c>
      <x:c r="M58" s="41" t="n">
        <x:f>L58+M56-(IF($B$21&lt;30,M56*(1-$B$21/30)+L56*$B$21/30,IF($B$21&lt;60,L56*(2-$B$21/30)+K56*($B$21/30-1),IF($B$21&lt;=90,K56*(3-$B$21/30)+J56*($B$21/30-2),0))))</x:f>
        <x:v>469030</x:v>
      </x:c>
      <x:c r="N58" s="41" t="n">
        <x:f>M58+N56-(IF($B$21&lt;30,N56*(1-$B$21/30)+M56*$B$21/30,IF($B$21&lt;60,M56*(2-$B$21/30)+L56*($B$21/30-1),IF($B$21&lt;=90,L56*(3-$B$21/30)+K56*($B$21/30-2),0))))</x:f>
        <x:v>448800</x:v>
      </x:c>
      <x:c r="O58" s="41" t="n">
        <x:f>N58+O56-(IF($B$21&lt;30,O56*(1-$B$21/30)+N56*$B$21/30,IF($B$21&lt;60,N56*(2-$B$21/30)+M56*($B$21/30-1),IF($B$21&lt;=90,M56*(3-$B$21/30)+L56*($B$21/30-2),0))))</x:f>
        <x:v>489430</x:v>
      </x:c>
    </x:row>
    <x:row r="59" ht="20" customHeight="1">
      <x:c r="A59" s="60" t="str">
        <x:v>Operating cash before interest/tax</x:v>
      </x:c>
      <x:c r="B59" s="60"/>
      <x:c r="C59" s="60"/>
      <x:c r="D59" s="61" t="n">
        <x:f>D51-D57-D43</x:f>
        <x:v>-647700</x:v>
      </x:c>
      <x:c r="E59" s="61" t="n">
        <x:f>E51-E57-E43</x:f>
        <x:v>-338610</x:v>
      </x:c>
      <x:c r="F59" s="61" t="n">
        <x:f>F51-F57-F43</x:f>
        <x:v>-125000</x:v>
      </x:c>
      <x:c r="G59" s="61" t="n">
        <x:f>G51-G57-G43</x:f>
        <x:v>-14229.999999999767</x:v>
      </x:c>
      <x:c r="H59" s="61" t="n">
        <x:f>H51-H57-H43</x:f>
        <x:v>92770.00000000023</x:v>
      </x:c>
      <x:c r="I59" s="61" t="n">
        <x:f>I51-I57-I43</x:f>
        <x:v>137000.00000000023</x:v>
      </x:c>
      <x:c r="J59" s="61" t="n">
        <x:f>J51-J57-J43</x:f>
        <x:v>199770.00000000023</x:v>
      </x:c>
      <x:c r="K59" s="61" t="n">
        <x:f>K51-K57-K43</x:f>
        <x:v>181230.00000000023</x:v>
      </x:c>
      <x:c r="L59" s="61" t="n">
        <x:f>L51-L57-L43</x:f>
        <x:v>223770.00000000023</x:v>
      </x:c>
      <x:c r="M59" s="61" t="n">
        <x:f>M51-M57-M43</x:f>
        <x:v>205230.00000000023</x:v>
      </x:c>
      <x:c r="N59" s="61" t="n">
        <x:f>N51-N57-N43</x:f>
        <x:v>247770</x:v>
      </x:c>
      <x:c r="O59" s="61" t="n">
        <x:f>O51-O57-O43</x:f>
        <x:v>229230</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-647700</x:v>
      </x:c>
      <x:c r="E62" s="61" t="n">
        <x:f>E59-E47-E48-E60-E61</x:f>
        <x:v>-338610</x:v>
      </x:c>
      <x:c r="F62" s="61" t="n">
        <x:f>F59-F47-F48-F60-F61</x:f>
        <x:v>-125000</x:v>
      </x:c>
      <x:c r="G62" s="61" t="n">
        <x:f>G59-G47-G48-G60-G61</x:f>
        <x:v>-14229.999999999767</x:v>
      </x:c>
      <x:c r="H62" s="61" t="n">
        <x:f>H59-H47-H48-H60-H61</x:f>
        <x:v>92770.00000000023</x:v>
      </x:c>
      <x:c r="I62" s="61" t="n">
        <x:f>I59-I47-I48-I60-I61</x:f>
        <x:v>137000.00000000023</x:v>
      </x:c>
      <x:c r="J62" s="61" t="n">
        <x:f>J59-J47-J48-J60-J61</x:f>
        <x:v>199770.00000000023</x:v>
      </x:c>
      <x:c r="K62" s="61" t="n">
        <x:f>K59-K47-K48-K60-K61</x:f>
        <x:v>181230.00000000023</x:v>
      </x:c>
      <x:c r="L62" s="61" t="n">
        <x:f>L59-L47-L48-L60-L61</x:f>
        <x:v>223770.00000000023</x:v>
      </x:c>
      <x:c r="M62" s="61" t="n">
        <x:f>M59-M47-M48-M60-M61</x:f>
        <x:v>205230.00000000023</x:v>
      </x:c>
      <x:c r="N62" s="61" t="n">
        <x:f>N59-N47-N48-N60-N61</x:f>
        <x:v>247770</x:v>
      </x:c>
      <x:c r="O62" s="61" t="n">
        <x:f>O59-O47-O48-O60-O61</x:f>
        <x:v>229230</x:v>
      </x:c>
    </x:row>
    <x:row r="63" ht="20" customHeight="1">
      <x:c r="A63" s="4" t="str">
        <x:v>Opening cash</x:v>
      </x:c>
      <x:c r="B63" s="4"/>
      <x:c r="C63" s="4"/>
      <x:c r="D63" s="41" t="n">
        <x:f>$B$18</x:f>
        <x:v>650000</x:v>
      </x:c>
      <x:c r="E63" s="41" t="n">
        <x:f>D64</x:f>
        <x:v>2300</x:v>
      </x:c>
      <x:c r="F63" s="41" t="n">
        <x:f>E64</x:f>
        <x:v>-336310</x:v>
      </x:c>
      <x:c r="G63" s="41" t="n">
        <x:f>F64</x:f>
        <x:v>-461310</x:v>
      </x:c>
      <x:c r="H63" s="41" t="n">
        <x:f>G64</x:f>
        <x:v>-475539.99999999977</x:v>
      </x:c>
      <x:c r="I63" s="41" t="n">
        <x:f>H64</x:f>
        <x:v>-382769.99999999953</x:v>
      </x:c>
      <x:c r="J63" s="41" t="n">
        <x:f>I64</x:f>
        <x:v>-245769.9999999993</x:v>
      </x:c>
      <x:c r="K63" s="41" t="n">
        <x:f>J64</x:f>
        <x:v>-45999.99999999907</x:v>
      </x:c>
      <x:c r="L63" s="41" t="n">
        <x:f>K64</x:f>
        <x:v>135230.00000000116</x:v>
      </x:c>
      <x:c r="M63" s="41" t="n">
        <x:f>L64</x:f>
        <x:v>359000.0000000014</x:v>
      </x:c>
      <x:c r="N63" s="41" t="n">
        <x:f>M64</x:f>
        <x:v>564230.0000000016</x:v>
      </x:c>
      <x:c r="O63" s="41" t="n">
        <x:f>N64</x:f>
        <x:v>812000.0000000016</x:v>
      </x:c>
    </x:row>
    <x:row r="64" ht="20" customHeight="1">
      <x:c r="A64" s="60" t="str">
        <x:v>Closing cash</x:v>
      </x:c>
      <x:c r="B64" s="60"/>
      <x:c r="C64" s="60"/>
      <x:c r="D64" s="61" t="n">
        <x:f>D63+D62</x:f>
        <x:v>2300</x:v>
      </x:c>
      <x:c r="E64" s="61" t="n">
        <x:f>E63+E62</x:f>
        <x:v>-336310</x:v>
      </x:c>
      <x:c r="F64" s="61" t="n">
        <x:f>F63+F62</x:f>
        <x:v>-461310</x:v>
      </x:c>
      <x:c r="G64" s="61" t="n">
        <x:f>G63+G62</x:f>
        <x:v>-475539.99999999977</x:v>
      </x:c>
      <x:c r="H64" s="61" t="n">
        <x:f>H63+H62</x:f>
        <x:v>-382769.99999999953</x:v>
      </x:c>
      <x:c r="I64" s="61" t="n">
        <x:f>I63+I62</x:f>
        <x:v>-245769.9999999993</x:v>
      </x:c>
      <x:c r="J64" s="61" t="n">
        <x:f>J63+J62</x:f>
        <x:v>-45999.99999999907</x:v>
      </x:c>
      <x:c r="K64" s="61" t="n">
        <x:f>K63+K62</x:f>
        <x:v>135230.00000000116</x:v>
      </x:c>
      <x:c r="L64" s="61" t="n">
        <x:f>L63+L62</x:f>
        <x:v>359000.0000000014</x:v>
      </x:c>
      <x:c r="M64" s="61" t="n">
        <x:f>M63+M62</x:f>
        <x:v>564230.0000000016</x:v>
      </x:c>
      <x:c r="N64" s="61" t="n">
        <x:f>N63+N62</x:f>
        <x:v>812000.0000000016</x:v>
      </x:c>
      <x:c r="O64" s="61" t="n">
        <x:f>O63+O62</x:f>
        <x:v>1041230.0000000016</x:v>
      </x:c>
    </x:row>
    <x:row r="65" ht="20" customHeight="1">
      <x:c r="A65" s="60" t="str">
        <x:v>Additional funding if closing cash &lt; 0</x:v>
      </x:c>
      <x:c r="B65" s="60"/>
      <x:c r="C65" s="60"/>
      <x:c r="D65" s="61" t="n">
        <x:f>MAX(0,-D64)</x:f>
        <x:v>0</x:v>
      </x:c>
      <x:c r="E65" s="61" t="n">
        <x:f>MAX(0,-E64)</x:f>
        <x:v>336310</x:v>
      </x:c>
      <x:c r="F65" s="61" t="n">
        <x:f>MAX(0,-F64)</x:f>
        <x:v>461310</x:v>
      </x:c>
      <x:c r="G65" s="61" t="n">
        <x:f>MAX(0,-G64)</x:f>
        <x:v>475539.99999999977</x:v>
      </x:c>
      <x:c r="H65" s="61" t="n">
        <x:f>MAX(0,-H64)</x:f>
        <x:v>382769.99999999953</x:v>
      </x:c>
      <x:c r="I65" s="61" t="n">
        <x:f>MAX(0,-I64)</x:f>
        <x:v>245769.9999999993</x:v>
      </x:c>
      <x:c r="J65" s="61" t="n">
        <x:f>MAX(0,-J64)</x:f>
        <x:v>45999.99999999907</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FUNDING GAP</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FUNDING GAP</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FUNDING GAP</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FUNDING GAP</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FUNDING GAP</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FUNDING GAP</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1360000</x:v>
      </x:c>
      <x:c r="C71" s="4"/>
      <x:c r="D71" s="2"/>
      <x:c r="E71" s="2"/>
      <x:c r="F71" s="2"/>
      <x:c r="G71" s="2"/>
      <x:c r="H71" s="2"/>
      <x:c r="I71" s="2"/>
      <x:c r="J71" s="2"/>
      <x:c r="K71" s="2"/>
      <x:c r="L71" s="2"/>
      <x:c r="M71" s="2"/>
      <x:c r="N71" s="2"/>
      <x:c r="O71" s="2"/>
    </x:row>
    <x:row r="72" ht="28" customHeight="1">
      <x:c r="A72" s="4" t="str">
        <x:v>Equity funding at startup</x:v>
      </x:c>
      <x:c r="B72" s="66" t="n">
        <x:f>MAX(0,SUM(B15:B18)-B23)</x:f>
        <x:v>1360000</x:v>
      </x:c>
      <x:c r="C72" s="4"/>
      <x:c r="D72" s="2"/>
      <x:c r="E72" s="2"/>
      <x:c r="F72" s="2"/>
      <x:c r="G72" s="2"/>
      <x:c r="H72" s="2"/>
      <x:c r="I72" s="2"/>
      <x:c r="J72" s="2"/>
      <x:c r="K72" s="2"/>
      <x:c r="L72" s="2"/>
      <x:c r="M72" s="2"/>
      <x:c r="N72" s="2"/>
      <x:c r="O72" s="2"/>
    </x:row>
    <x:row r="73" ht="28" customHeight="1">
      <x:c r="A73" s="4" t="str">
        <x:v>Steady monthly unit contribution</x:v>
      </x:c>
      <x:c r="B73" s="66" t="n">
        <x:f>B9*B26-B10*B27</x:f>
        <x:v>3000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87</x:v>
      </x:c>
      <x:c r="C74" s="4"/>
      <x:c r="D74" s="2"/>
      <x:c r="E74" s="2"/>
      <x:c r="F74" s="2"/>
      <x:c r="G74" s="2"/>
      <x:c r="H74" s="2"/>
      <x:c r="I74" s="2"/>
      <x:c r="J74" s="2"/>
      <x:c r="K74" s="2"/>
      <x:c r="L74" s="2"/>
      <x:c r="M74" s="2"/>
      <x:c r="N74" s="2"/>
      <x:c r="O74" s="2"/>
    </x:row>
    <x:row r="75" ht="28" customHeight="1">
      <x:c r="A75" s="4" t="str">
        <x:v>Year-one operating cash profit</x:v>
      </x:c>
      <x:c r="B75" s="66" t="n">
        <x:f>SUM(D44:O44)</x:f>
        <x:v>2280000</x:v>
      </x:c>
      <x:c r="C75" s="4"/>
      <x:c r="D75" s="2"/>
      <x:c r="E75" s="2"/>
      <x:c r="F75" s="2"/>
      <x:c r="G75" s="2"/>
      <x:c r="H75" s="2"/>
      <x:c r="I75" s="2"/>
      <x:c r="J75" s="2"/>
      <x:c r="K75" s="2"/>
      <x:c r="L75" s="2"/>
      <x:c r="M75" s="2"/>
      <x:c r="N75" s="2"/>
      <x:c r="O75" s="2"/>
    </x:row>
    <x:row r="76" ht="28" customHeight="1">
      <x:c r="A76" s="4" t="str">
        <x:v>Year-one minimum closing cash</x:v>
      </x:c>
      <x:c r="B76" s="66" t="n">
        <x:f>MIN(D64:O64)</x:f>
        <x:v>-475539.99999999977</x:v>
      </x:c>
      <x:c r="C76" s="4"/>
      <x:c r="D76" s="2"/>
      <x:c r="E76" s="2"/>
      <x:c r="F76" s="2"/>
      <x:c r="G76" s="2"/>
      <x:c r="H76" s="2"/>
      <x:c r="I76" s="2"/>
      <x:c r="J76" s="2"/>
      <x:c r="K76" s="2"/>
      <x:c r="L76" s="2"/>
      <x:c r="M76" s="2"/>
      <x:c r="N76" s="2"/>
      <x:c r="O76" s="2"/>
    </x:row>
    <x:row r="77" ht="28" customHeight="1">
      <x:c r="A77" s="4" t="str">
        <x:v>Additional opening liquidity needed</x:v>
      </x:c>
      <x:c r="B77" s="66" t="n">
        <x:f>MAX(0,-MIN(D64:O64))</x:f>
        <x:v>475539.99999999977</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FUNDING GAP</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10" priority="1">
      <x:formula>D64&lt;0</x:formula>
    </x:cfRule>
  </x:conditionalFormatting>
  <x:conditionalFormatting sqref="D66:O66">
    <x:cfRule type="expression" dxfId="46" priority="2">
      <x:formula>D66&lt;&gt;"OK"</x:formula>
    </x:cfRule>
  </x:conditionalFormatting>
  <x:pageMargins left="0.7" right="0.7" top="0.75" bottom="0.75" header="0.3" footer="0.3"/>
  <x:drawing xmlns:r="http://schemas.openxmlformats.org/officeDocument/2006/relationships" r:id="R2c89182673d34e8a"/>
  <x:legacyDrawing xmlns:r="http://schemas.openxmlformats.org/officeDocument/2006/relationships" r:id="R076e6c7dea844cf8"/>
</x:worksheet>
</file>

<file path=xl/worksheets/sheet11.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PCJ-25 | Staffing, Recruitment &amp; Payroll Services</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FUNDING GAP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665000</x:v>
      </x:c>
      <x:c r="G7" s="2"/>
      <x:c r="H7" s="2"/>
      <x:c r="I7" s="2"/>
      <x:c r="J7" s="2"/>
      <x:c r="K7" s="2"/>
      <x:c r="L7" s="2"/>
      <x:c r="M7" s="2"/>
      <x:c r="N7" s="2"/>
      <x:c r="O7" s="2"/>
    </x:row>
    <x:row r="8" ht="38" customHeight="1">
      <x:c r="A8" s="90" t="str">
        <x:v>Base monthly units</x:v>
      </x:c>
      <x:c r="B8" s="106" t="n">
        <x:v>60</x:v>
      </x:c>
      <x:c r="C8" s="90" t="str">
        <x:v>Billable output, not leads or maximum capacity.</x:v>
      </x:c>
      <x:c r="D8" s="2"/>
      <x:c r="E8" s="2" t="n">
        <x:v>2</x:v>
      </x:c>
      <x:c r="F8" s="40" t="n">
        <x:f>E64</x:f>
        <x:v>-58500</x:v>
      </x:c>
      <x:c r="G8" s="2"/>
      <x:c r="H8" s="2"/>
      <x:c r="I8" s="2"/>
      <x:c r="J8" s="2"/>
      <x:c r="K8" s="2"/>
      <x:c r="L8" s="2"/>
      <x:c r="M8" s="2"/>
      <x:c r="N8" s="2"/>
      <x:c r="O8" s="2"/>
    </x:row>
    <x:row r="9" ht="38" customHeight="1">
      <x:c r="A9" s="90" t="str">
        <x:v>Net realised price / unit (INR)</x:v>
      </x:c>
      <x:c r="B9" s="106" t="n">
        <x:v>30000</x:v>
      </x:c>
      <x:c r="C9" s="90" t="str">
        <x:v>Excludes GST; net of commercial reductions.</x:v>
      </x:c>
      <x:c r="D9" s="2"/>
      <x:c r="E9" s="2" t="n">
        <x:v>3</x:v>
      </x:c>
      <x:c r="F9" s="40" t="n">
        <x:f>F64</x:f>
        <x:v>-435500</x:v>
      </x:c>
      <x:c r="G9" s="2"/>
      <x:c r="H9" s="2"/>
      <x:c r="I9" s="2"/>
      <x:c r="J9" s="2"/>
      <x:c r="K9" s="2"/>
      <x:c r="L9" s="2"/>
      <x:c r="M9" s="2"/>
      <x:c r="N9" s="2"/>
      <x:c r="O9" s="2"/>
    </x:row>
    <x:row r="10" ht="38" customHeight="1">
      <x:c r="A10" s="90" t="str">
        <x:v>Variable cash cost / unit (INR)</x:v>
      </x:c>
      <x:c r="B10" s="106" t="n">
        <x:v>26500</x:v>
      </x:c>
      <x:c r="C10" s="90" t="str">
        <x:v>Include expected direct rework/returns where relevant.</x:v>
      </x:c>
      <x:c r="D10" s="2"/>
      <x:c r="E10" s="2" t="n">
        <x:v>4</x:v>
      </x:c>
      <x:c r="F10" s="40" t="n">
        <x:f>G64</x:f>
        <x:v>-701500</x:v>
      </x:c>
      <x:c r="G10" s="2"/>
      <x:c r="H10" s="2"/>
      <x:c r="I10" s="2"/>
      <x:c r="J10" s="2"/>
      <x:c r="K10" s="2"/>
      <x:c r="L10" s="2"/>
      <x:c r="M10" s="2"/>
      <x:c r="N10" s="2"/>
      <x:c r="O10" s="2"/>
    </x:row>
    <x:row r="11" ht="38" customHeight="1">
      <x:c r="A11" s="90" t="str">
        <x:v>Fixed monthly cash cost (INR)</x:v>
      </x:c>
      <x:c r="B11" s="106" t="n">
        <x:v>140000</x:v>
      </x:c>
      <x:c r="C11" s="90" t="str">
        <x:v>Include supervision and realistic owner-replacement cost.</x:v>
      </x:c>
      <x:c r="D11" s="2"/>
      <x:c r="E11" s="2" t="n">
        <x:v>5</x:v>
      </x:c>
      <x:c r="F11" s="40" t="n">
        <x:f>H64</x:f>
        <x:v>-822000</x:v>
      </x:c>
      <x:c r="G11" s="2"/>
      <x:c r="H11" s="2"/>
      <x:c r="I11" s="2"/>
      <x:c r="J11" s="2"/>
      <x:c r="K11" s="2"/>
      <x:c r="L11" s="2"/>
      <x:c r="M11" s="2"/>
      <x:c r="N11" s="2"/>
      <x:c r="O11" s="2"/>
    </x:row>
    <x:row r="12" ht="38" customHeight="1">
      <x:c r="A12" s="90" t="str">
        <x:v>Safe / saleable monthly capacity</x:v>
      </x:c>
      <x:c r="B12" s="106" t="n">
        <x:v>120</x:v>
      </x:c>
      <x:c r="C12" s="90" t="str">
        <x:v>Planning input; does not certify safe technical capacity.</x:v>
      </x:c>
      <x:c r="D12" s="2"/>
      <x:c r="E12" s="2" t="n">
        <x:v>6</x:v>
      </x:c>
      <x:c r="F12" s="40" t="n">
        <x:f>I64</x:f>
        <x:v>-887000</x:v>
      </x:c>
      <x:c r="G12" s="2"/>
      <x:c r="H12" s="2"/>
      <x:c r="I12" s="2"/>
      <x:c r="J12" s="2"/>
      <x:c r="K12" s="2"/>
      <x:c r="L12" s="2"/>
      <x:c r="M12" s="2"/>
      <x:c r="N12" s="2"/>
      <x:c r="O12" s="2"/>
    </x:row>
    <x:row r="13" ht="38" customHeight="1">
      <x:c r="A13" s="90" t="str">
        <x:v>Inventory-eligible share of variable cost</x:v>
      </x:c>
      <x:c r="B13" s="107" t="n">
        <x:v>0</x:v>
      </x:c>
      <x:c r="C13" s="90" t="str">
        <x:v>Only this share drives modelled inventory.</x:v>
      </x:c>
      <x:c r="D13" s="2"/>
      <x:c r="E13" s="2" t="n">
        <x:v>7</x:v>
      </x:c>
      <x:c r="F13" s="40" t="n">
        <x:f>J64</x:f>
        <x:v>-862000</x:v>
      </x:c>
      <x:c r="G13" s="2"/>
      <x:c r="H13" s="2"/>
      <x:c r="I13" s="2"/>
      <x:c r="J13" s="2"/>
      <x:c r="K13" s="2"/>
      <x:c r="L13" s="2"/>
      <x:c r="M13" s="2"/>
      <x:c r="N13" s="2"/>
      <x:c r="O13" s="2"/>
    </x:row>
    <x:row r="14" ht="38" customHeight="1">
      <x:c r="A14" s="90" t="str">
        <x:v>Supplier-credit share of purchases</x:v>
      </x:c>
      <x:c r="B14" s="107" t="n">
        <x:v>0</x:v>
      </x:c>
      <x:c r="C14" s="90" t="str">
        <x:v>Other costs are paid currently; do not defer payroll unlawfully.</x:v>
      </x:c>
      <x:c r="D14" s="2"/>
      <x:c r="E14" s="2" t="n">
        <x:v>8</x:v>
      </x:c>
      <x:c r="F14" s="40" t="n">
        <x:f>K64</x:f>
        <x:v>-871500</x:v>
      </x:c>
      <x:c r="G14" s="2"/>
      <x:c r="H14" s="2"/>
      <x:c r="I14" s="2"/>
      <x:c r="J14" s="2"/>
      <x:c r="K14" s="2"/>
      <x:c r="L14" s="2"/>
      <x:c r="M14" s="2"/>
      <x:c r="N14" s="2"/>
      <x:c r="O14" s="2"/>
    </x:row>
    <x:row r="15" ht="38" customHeight="1">
      <x:c r="A15" s="90" t="str">
        <x:v>Initial installed assets (INR)</x:v>
      </x:c>
      <x:c r="B15" s="106" t="n">
        <x:v>250000</x:v>
      </x:c>
      <x:c r="C15" s="90" t="str">
        <x:v>Initial capex; further capex has a separate monthly row.</x:v>
      </x:c>
      <x:c r="D15" s="2"/>
      <x:c r="E15" s="2" t="n">
        <x:v>9</x:v>
      </x:c>
      <x:c r="F15" s="40" t="n">
        <x:f>L64</x:f>
        <x:v>-836000</x:v>
      </x:c>
      <x:c r="G15" s="2"/>
      <x:c r="H15" s="2"/>
      <x:c r="I15" s="2"/>
      <x:c r="J15" s="2"/>
      <x:c r="K15" s="2"/>
      <x:c r="L15" s="2"/>
      <x:c r="M15" s="2"/>
      <x:c r="N15" s="2"/>
      <x:c r="O15" s="2"/>
    </x:row>
    <x:row r="16" ht="38" customHeight="1">
      <x:c r="A16" s="90" t="str">
        <x:v>Refundable startup deposits (INR)</x:v>
      </x:c>
      <x:c r="B16" s="106" t="n">
        <x:v>100000</x:v>
      </x:c>
      <x:c r="C16" s="90" t="str">
        <x:v>Cash funding, not immediate operating expense.</x:v>
      </x:c>
      <x:c r="D16" s="2"/>
      <x:c r="E16" s="2" t="n">
        <x:v>10</x:v>
      </x:c>
      <x:c r="F16" s="40" t="n">
        <x:f>M64</x:f>
        <x:v>-835000</x:v>
      </x:c>
      <x:c r="G16" s="2"/>
      <x:c r="H16" s="2"/>
      <x:c r="I16" s="2"/>
      <x:c r="J16" s="2"/>
      <x:c r="K16" s="2"/>
      <x:c r="L16" s="2"/>
      <x:c r="M16" s="2"/>
      <x:c r="N16" s="2"/>
      <x:c r="O16" s="2"/>
    </x:row>
    <x:row r="17" ht="38" customHeight="1">
      <x:c r="A17" s="90" t="str">
        <x:v>Pre-opening expense (INR)</x:v>
      </x:c>
      <x:c r="B17" s="106" t="n">
        <x:v>120000</x:v>
      </x:c>
      <x:c r="C17" s="90" t="str">
        <x:v>Before month 1; excluded from forecast EBITDA.</x:v>
      </x:c>
      <x:c r="D17" s="2"/>
      <x:c r="E17" s="2" t="n">
        <x:v>11</x:v>
      </x:c>
      <x:c r="F17" s="40" t="n">
        <x:f>N64</x:f>
        <x:v>-789000</x:v>
      </x:c>
      <x:c r="G17" s="2"/>
      <x:c r="H17" s="2"/>
      <x:c r="I17" s="2"/>
      <x:c r="J17" s="2"/>
      <x:c r="K17" s="2"/>
      <x:c r="L17" s="2"/>
      <x:c r="M17" s="2"/>
      <x:c r="N17" s="2"/>
      <x:c r="O17" s="2"/>
    </x:row>
    <x:row r="18" ht="38" customHeight="1">
      <x:c r="A18" s="90" t="str">
        <x:v>Opening cash reserve (INR)</x:v>
      </x:c>
      <x:c r="B18" s="106" t="n">
        <x:v>1600000</x:v>
      </x:c>
      <x:c r="C18" s="90" t="str">
        <x:v>May be insufficient: review minimum closing cash.</x:v>
      </x:c>
      <x:c r="D18" s="2"/>
      <x:c r="E18" s="2" t="n">
        <x:v>12</x:v>
      </x:c>
      <x:c r="F18" s="40" t="n">
        <x:f>O64</x:f>
        <x:v>-777500</x:v>
      </x:c>
      <x:c r="G18" s="2"/>
      <x:c r="H18" s="2"/>
      <x:c r="I18" s="2"/>
      <x:c r="J18" s="2"/>
      <x:c r="K18" s="2"/>
      <x:c r="L18" s="2"/>
      <x:c r="M18" s="2"/>
      <x:c r="N18" s="2"/>
      <x:c r="O18" s="2"/>
    </x:row>
    <x:row r="19" ht="38" customHeight="1">
      <x:c r="A19" s="90" t="str">
        <x:v>Collection lag (days; 0–90)</x:v>
      </x:c>
      <x:c r="B19" s="108" t="n">
        <x:v>45</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0</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0</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3</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deployed worker-months.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30</x:v>
      </x:c>
      <x:c r="E36" s="41" t="n">
        <x:f>ROUND($B$8*E35*$B$25,0)</x:f>
        <x:v>39</x:v>
      </x:c>
      <x:c r="F36" s="41" t="n">
        <x:f>ROUND($B$8*F35*$B$25,0)</x:f>
        <x:v>48</x:v>
      </x:c>
      <x:c r="G36" s="41" t="n">
        <x:f>ROUND($B$8*G35*$B$25,0)</x:f>
        <x:v>54</x:v>
      </x:c>
      <x:c r="H36" s="41" t="n">
        <x:f>ROUND($B$8*H35*$B$25,0)</x:f>
        <x:v>57</x:v>
      </x:c>
      <x:c r="I36" s="41" t="n">
        <x:f>ROUND($B$8*I35*$B$25,0)</x:f>
        <x:v>60</x:v>
      </x:c>
      <x:c r="J36" s="41" t="n">
        <x:f>ROUND($B$8*J35*$B$25,0)</x:f>
        <x:v>60</x:v>
      </x:c>
      <x:c r="K36" s="41" t="n">
        <x:f>ROUND($B$8*K35*$B$25,0)</x:f>
        <x:v>63</x:v>
      </x:c>
      <x:c r="L36" s="41" t="n">
        <x:f>ROUND($B$8*L35*$B$25,0)</x:f>
        <x:v>63</x:v>
      </x:c>
      <x:c r="M36" s="41" t="n">
        <x:f>ROUND($B$8*M35*$B$25,0)</x:f>
        <x:v>66</x:v>
      </x:c>
      <x:c r="N36" s="41" t="n">
        <x:f>ROUND($B$8*N35*$B$25,0)</x:f>
        <x:v>66</x:v>
      </x:c>
      <x:c r="O36" s="41" t="n">
        <x:f>ROUND($B$8*O35*$B$25,0)</x:f>
        <x:v>69</x:v>
      </x:c>
    </x:row>
    <x:row r="37" ht="20" customHeight="1">
      <x:c r="A37" s="4" t="str">
        <x:v>Safe / saleable capacity</x:v>
      </x:c>
      <x:c r="B37" s="4"/>
      <x:c r="C37" s="4"/>
      <x:c r="D37" s="41" t="n">
        <x:f>$B$12</x:f>
        <x:v>120</x:v>
      </x:c>
      <x:c r="E37" s="41" t="n">
        <x:f>$B$12</x:f>
        <x:v>120</x:v>
      </x:c>
      <x:c r="F37" s="41" t="n">
        <x:f>$B$12</x:f>
        <x:v>120</x:v>
      </x:c>
      <x:c r="G37" s="41" t="n">
        <x:f>$B$12</x:f>
        <x:v>120</x:v>
      </x:c>
      <x:c r="H37" s="41" t="n">
        <x:f>$B$12</x:f>
        <x:v>120</x:v>
      </x:c>
      <x:c r="I37" s="41" t="n">
        <x:f>$B$12</x:f>
        <x:v>120</x:v>
      </x:c>
      <x:c r="J37" s="41" t="n">
        <x:f>$B$12</x:f>
        <x:v>120</x:v>
      </x:c>
      <x:c r="K37" s="41" t="n">
        <x:f>$B$12</x:f>
        <x:v>120</x:v>
      </x:c>
      <x:c r="L37" s="41" t="n">
        <x:f>$B$12</x:f>
        <x:v>120</x:v>
      </x:c>
      <x:c r="M37" s="41" t="n">
        <x:f>$B$12</x:f>
        <x:v>120</x:v>
      </x:c>
      <x:c r="N37" s="41" t="n">
        <x:f>$B$12</x:f>
        <x:v>120</x:v>
      </x:c>
      <x:c r="O37" s="41" t="n">
        <x:f>$B$12</x:f>
        <x:v>120</x:v>
      </x:c>
    </x:row>
    <x:row r="38" ht="20" customHeight="1">
      <x:c r="A38" s="4" t="str">
        <x:v>Capacity utilisation</x:v>
      </x:c>
      <x:c r="B38" s="4"/>
      <x:c r="C38" s="4"/>
      <x:c r="D38" s="46" t="n">
        <x:f>IF(D37&gt;0,D36/D37,0)</x:f>
        <x:v>0.25</x:v>
      </x:c>
      <x:c r="E38" s="46" t="n">
        <x:f>IF(E37&gt;0,E36/E37,0)</x:f>
        <x:v>0.325</x:v>
      </x:c>
      <x:c r="F38" s="46" t="n">
        <x:f>IF(F37&gt;0,F36/F37,0)</x:f>
        <x:v>0.4</x:v>
      </x:c>
      <x:c r="G38" s="46" t="n">
        <x:f>IF(G37&gt;0,G36/G37,0)</x:f>
        <x:v>0.45</x:v>
      </x:c>
      <x:c r="H38" s="46" t="n">
        <x:f>IF(H37&gt;0,H36/H37,0)</x:f>
        <x:v>0.475</x:v>
      </x:c>
      <x:c r="I38" s="46" t="n">
        <x:f>IF(I37&gt;0,I36/I37,0)</x:f>
        <x:v>0.5</x:v>
      </x:c>
      <x:c r="J38" s="46" t="n">
        <x:f>IF(J37&gt;0,J36/J37,0)</x:f>
        <x:v>0.5</x:v>
      </x:c>
      <x:c r="K38" s="46" t="n">
        <x:f>IF(K37&gt;0,K36/K37,0)</x:f>
        <x:v>0.525</x:v>
      </x:c>
      <x:c r="L38" s="46" t="n">
        <x:f>IF(L37&gt;0,L36/L37,0)</x:f>
        <x:v>0.525</x:v>
      </x:c>
      <x:c r="M38" s="46" t="n">
        <x:f>IF(M37&gt;0,M36/M37,0)</x:f>
        <x:v>0.55</x:v>
      </x:c>
      <x:c r="N38" s="46" t="n">
        <x:f>IF(N37&gt;0,N36/N37,0)</x:f>
        <x:v>0.55</x:v>
      </x:c>
      <x:c r="O38" s="46" t="n">
        <x:f>IF(O37&gt;0,O36/O37,0)</x:f>
        <x:v>0.575</x:v>
      </x:c>
    </x:row>
    <x:row r="39" ht="20" customHeight="1">
      <x:c r="A39" s="4" t="str">
        <x:v>Net realised unit price</x:v>
      </x:c>
      <x:c r="B39" s="4"/>
      <x:c r="C39" s="4"/>
      <x:c r="D39" s="41" t="n">
        <x:f>$B$9*$B$26</x:f>
        <x:v>30000</x:v>
      </x:c>
      <x:c r="E39" s="41" t="n">
        <x:f>$B$9*$B$26</x:f>
        <x:v>30000</x:v>
      </x:c>
      <x:c r="F39" s="41" t="n">
        <x:f>$B$9*$B$26</x:f>
        <x:v>30000</x:v>
      </x:c>
      <x:c r="G39" s="41" t="n">
        <x:f>$B$9*$B$26</x:f>
        <x:v>30000</x:v>
      </x:c>
      <x:c r="H39" s="41" t="n">
        <x:f>$B$9*$B$26</x:f>
        <x:v>30000</x:v>
      </x:c>
      <x:c r="I39" s="41" t="n">
        <x:f>$B$9*$B$26</x:f>
        <x:v>30000</x:v>
      </x:c>
      <x:c r="J39" s="41" t="n">
        <x:f>$B$9*$B$26</x:f>
        <x:v>30000</x:v>
      </x:c>
      <x:c r="K39" s="41" t="n">
        <x:f>$B$9*$B$26</x:f>
        <x:v>30000</x:v>
      </x:c>
      <x:c r="L39" s="41" t="n">
        <x:f>$B$9*$B$26</x:f>
        <x:v>30000</x:v>
      </x:c>
      <x:c r="M39" s="41" t="n">
        <x:f>$B$9*$B$26</x:f>
        <x:v>30000</x:v>
      </x:c>
      <x:c r="N39" s="41" t="n">
        <x:f>$B$9*$B$26</x:f>
        <x:v>30000</x:v>
      </x:c>
      <x:c r="O39" s="41" t="n">
        <x:f>$B$9*$B$26</x:f>
        <x:v>30000</x:v>
      </x:c>
    </x:row>
    <x:row r="40" ht="20" customHeight="1">
      <x:c r="A40" s="60" t="str">
        <x:v>Revenue, excluding GST</x:v>
      </x:c>
      <x:c r="B40" s="60"/>
      <x:c r="C40" s="60"/>
      <x:c r="D40" s="61" t="n">
        <x:f>D36*D39</x:f>
        <x:v>900000</x:v>
      </x:c>
      <x:c r="E40" s="61" t="n">
        <x:f>E36*E39</x:f>
        <x:v>1170000</x:v>
      </x:c>
      <x:c r="F40" s="61" t="n">
        <x:f>F36*F39</x:f>
        <x:v>1440000</x:v>
      </x:c>
      <x:c r="G40" s="61" t="n">
        <x:f>G36*G39</x:f>
        <x:v>1620000</x:v>
      </x:c>
      <x:c r="H40" s="61" t="n">
        <x:f>H36*H39</x:f>
        <x:v>1710000</x:v>
      </x:c>
      <x:c r="I40" s="61" t="n">
        <x:f>I36*I39</x:f>
        <x:v>1800000</x:v>
      </x:c>
      <x:c r="J40" s="61" t="n">
        <x:f>J36*J39</x:f>
        <x:v>1800000</x:v>
      </x:c>
      <x:c r="K40" s="61" t="n">
        <x:f>K36*K39</x:f>
        <x:v>1890000</x:v>
      </x:c>
      <x:c r="L40" s="61" t="n">
        <x:f>L36*L39</x:f>
        <x:v>1890000</x:v>
      </x:c>
      <x:c r="M40" s="61" t="n">
        <x:f>M36*M39</x:f>
        <x:v>1980000</x:v>
      </x:c>
      <x:c r="N40" s="61" t="n">
        <x:f>N36*N39</x:f>
        <x:v>1980000</x:v>
      </x:c>
      <x:c r="O40" s="61" t="n">
        <x:f>O36*O39</x:f>
        <x:v>2070000</x:v>
      </x:c>
    </x:row>
    <x:row r="41" ht="20" customHeight="1">
      <x:c r="A41" s="4" t="str">
        <x:v>Variable cash cost</x:v>
      </x:c>
      <x:c r="B41" s="4"/>
      <x:c r="C41" s="4"/>
      <x:c r="D41" s="41" t="n">
        <x:f>D36*$B$10*$B$27</x:f>
        <x:v>795000</x:v>
      </x:c>
      <x:c r="E41" s="41" t="n">
        <x:f>E36*$B$10*$B$27</x:f>
        <x:v>1033500</x:v>
      </x:c>
      <x:c r="F41" s="41" t="n">
        <x:f>F36*$B$10*$B$27</x:f>
        <x:v>1272000</x:v>
      </x:c>
      <x:c r="G41" s="41" t="n">
        <x:f>G36*$B$10*$B$27</x:f>
        <x:v>1431000</x:v>
      </x:c>
      <x:c r="H41" s="41" t="n">
        <x:f>H36*$B$10*$B$27</x:f>
        <x:v>1510500</x:v>
      </x:c>
      <x:c r="I41" s="41" t="n">
        <x:f>I36*$B$10*$B$27</x:f>
        <x:v>1590000</x:v>
      </x:c>
      <x:c r="J41" s="41" t="n">
        <x:f>J36*$B$10*$B$27</x:f>
        <x:v>1590000</x:v>
      </x:c>
      <x:c r="K41" s="41" t="n">
        <x:f>K36*$B$10*$B$27</x:f>
        <x:v>1669500</x:v>
      </x:c>
      <x:c r="L41" s="41" t="n">
        <x:f>L36*$B$10*$B$27</x:f>
        <x:v>1669500</x:v>
      </x:c>
      <x:c r="M41" s="41" t="n">
        <x:f>M36*$B$10*$B$27</x:f>
        <x:v>1749000</x:v>
      </x:c>
      <x:c r="N41" s="41" t="n">
        <x:f>N36*$B$10*$B$27</x:f>
        <x:v>1749000</x:v>
      </x:c>
      <x:c r="O41" s="41" t="n">
        <x:f>O36*$B$10*$B$27</x:f>
        <x:v>1828500</x:v>
      </x:c>
    </x:row>
    <x:row r="42" ht="20" customHeight="1">
      <x:c r="A42" s="4" t="str">
        <x:v>Contribution</x:v>
      </x:c>
      <x:c r="B42" s="4"/>
      <x:c r="C42" s="4"/>
      <x:c r="D42" s="41" t="n">
        <x:f>D40-D41</x:f>
        <x:v>105000</x:v>
      </x:c>
      <x:c r="E42" s="41" t="n">
        <x:f>E40-E41</x:f>
        <x:v>136500</x:v>
      </x:c>
      <x:c r="F42" s="41" t="n">
        <x:f>F40-F41</x:f>
        <x:v>168000</x:v>
      </x:c>
      <x:c r="G42" s="41" t="n">
        <x:f>G40-G41</x:f>
        <x:v>189000</x:v>
      </x:c>
      <x:c r="H42" s="41" t="n">
        <x:f>H40-H41</x:f>
        <x:v>199500</x:v>
      </x:c>
      <x:c r="I42" s="41" t="n">
        <x:f>I40-I41</x:f>
        <x:v>210000</x:v>
      </x:c>
      <x:c r="J42" s="41" t="n">
        <x:f>J40-J41</x:f>
        <x:v>210000</x:v>
      </x:c>
      <x:c r="K42" s="41" t="n">
        <x:f>K40-K41</x:f>
        <x:v>220500</x:v>
      </x:c>
      <x:c r="L42" s="41" t="n">
        <x:f>L40-L41</x:f>
        <x:v>220500</x:v>
      </x:c>
      <x:c r="M42" s="41" t="n">
        <x:f>M40-M41</x:f>
        <x:v>231000</x:v>
      </x:c>
      <x:c r="N42" s="41" t="n">
        <x:f>N40-N41</x:f>
        <x:v>231000</x:v>
      </x:c>
      <x:c r="O42" s="41" t="n">
        <x:f>O40-O41</x:f>
        <x:v>241500</x:v>
      </x:c>
    </x:row>
    <x:row r="43" ht="20" customHeight="1">
      <x:c r="A43" s="4" t="str">
        <x:v>Fixed cash cost</x:v>
      </x:c>
      <x:c r="B43" s="4"/>
      <x:c r="C43" s="4"/>
      <x:c r="D43" s="41" t="n">
        <x:f>$B$11*$B$28</x:f>
        <x:v>140000</x:v>
      </x:c>
      <x:c r="E43" s="41" t="n">
        <x:f>$B$11*$B$28</x:f>
        <x:v>140000</x:v>
      </x:c>
      <x:c r="F43" s="41" t="n">
        <x:f>$B$11*$B$28</x:f>
        <x:v>140000</x:v>
      </x:c>
      <x:c r="G43" s="41" t="n">
        <x:f>$B$11*$B$28</x:f>
        <x:v>140000</x:v>
      </x:c>
      <x:c r="H43" s="41" t="n">
        <x:f>$B$11*$B$28</x:f>
        <x:v>140000</x:v>
      </x:c>
      <x:c r="I43" s="41" t="n">
        <x:f>$B$11*$B$28</x:f>
        <x:v>140000</x:v>
      </x:c>
      <x:c r="J43" s="41" t="n">
        <x:f>$B$11*$B$28</x:f>
        <x:v>140000</x:v>
      </x:c>
      <x:c r="K43" s="41" t="n">
        <x:f>$B$11*$B$28</x:f>
        <x:v>140000</x:v>
      </x:c>
      <x:c r="L43" s="41" t="n">
        <x:f>$B$11*$B$28</x:f>
        <x:v>140000</x:v>
      </x:c>
      <x:c r="M43" s="41" t="n">
        <x:f>$B$11*$B$28</x:f>
        <x:v>140000</x:v>
      </x:c>
      <x:c r="N43" s="41" t="n">
        <x:f>$B$11*$B$28</x:f>
        <x:v>140000</x:v>
      </x:c>
      <x:c r="O43" s="41" t="n">
        <x:f>$B$11*$B$28</x:f>
        <x:v>140000</x:v>
      </x:c>
    </x:row>
    <x:row r="44" ht="20" customHeight="1">
      <x:c r="A44" s="60" t="str">
        <x:v>Operating cash profit (EBITDA)</x:v>
      </x:c>
      <x:c r="B44" s="60"/>
      <x:c r="C44" s="60"/>
      <x:c r="D44" s="61" t="n">
        <x:f>D42-D43</x:f>
        <x:v>-35000</x:v>
      </x:c>
      <x:c r="E44" s="61" t="n">
        <x:f>E42-E43</x:f>
        <x:v>-3500</x:v>
      </x:c>
      <x:c r="F44" s="61" t="n">
        <x:f>F42-F43</x:f>
        <x:v>28000</x:v>
      </x:c>
      <x:c r="G44" s="61" t="n">
        <x:f>G42-G43</x:f>
        <x:v>49000</x:v>
      </x:c>
      <x:c r="H44" s="61" t="n">
        <x:f>H42-H43</x:f>
        <x:v>59500</x:v>
      </x:c>
      <x:c r="I44" s="61" t="n">
        <x:f>I42-I43</x:f>
        <x:v>70000</x:v>
      </x:c>
      <x:c r="J44" s="61" t="n">
        <x:f>J42-J43</x:f>
        <x:v>70000</x:v>
      </x:c>
      <x:c r="K44" s="61" t="n">
        <x:f>K42-K43</x:f>
        <x:v>80500</x:v>
      </x:c>
      <x:c r="L44" s="61" t="n">
        <x:f>L42-L43</x:f>
        <x:v>80500</x:v>
      </x:c>
      <x:c r="M44" s="61" t="n">
        <x:f>M42-M43</x:f>
        <x:v>91000</x:v>
      </x:c>
      <x:c r="N44" s="61" t="n">
        <x:f>N42-N43</x:f>
        <x:v>91000</x:v>
      </x:c>
      <x:c r="O44" s="61" t="n">
        <x:f>O42-O43</x:f>
        <x:v>101500</x:v>
      </x:c>
    </x:row>
    <x:row r="45" ht="20" customHeight="1">
      <x:c r="A45" s="4" t="str">
        <x:v>Illustrative depreciation</x:v>
      </x:c>
      <x:c r="B45" s="4"/>
      <x:c r="C45" s="4"/>
      <x:c r="D45" s="41" t="n">
        <x:f>IF($B$22&gt;0,$B$15/$B$22/12,0)</x:f>
        <x:v>6944.444444444444</x:v>
      </x:c>
      <x:c r="E45" s="41" t="n">
        <x:f>IF($B$22&gt;0,$B$15/$B$22/12,0)</x:f>
        <x:v>6944.444444444444</x:v>
      </x:c>
      <x:c r="F45" s="41" t="n">
        <x:f>IF($B$22&gt;0,$B$15/$B$22/12,0)</x:f>
        <x:v>6944.444444444444</x:v>
      </x:c>
      <x:c r="G45" s="41" t="n">
        <x:f>IF($B$22&gt;0,$B$15/$B$22/12,0)</x:f>
        <x:v>6944.444444444444</x:v>
      </x:c>
      <x:c r="H45" s="41" t="n">
        <x:f>IF($B$22&gt;0,$B$15/$B$22/12,0)</x:f>
        <x:v>6944.444444444444</x:v>
      </x:c>
      <x:c r="I45" s="41" t="n">
        <x:f>IF($B$22&gt;0,$B$15/$B$22/12,0)</x:f>
        <x:v>6944.444444444444</x:v>
      </x:c>
      <x:c r="J45" s="41" t="n">
        <x:f>IF($B$22&gt;0,$B$15/$B$22/12,0)</x:f>
        <x:v>6944.444444444444</x:v>
      </x:c>
      <x:c r="K45" s="41" t="n">
        <x:f>IF($B$22&gt;0,$B$15/$B$22/12,0)</x:f>
        <x:v>6944.444444444444</x:v>
      </x:c>
      <x:c r="L45" s="41" t="n">
        <x:f>IF($B$22&gt;0,$B$15/$B$22/12,0)</x:f>
        <x:v>6944.444444444444</x:v>
      </x:c>
      <x:c r="M45" s="41" t="n">
        <x:f>IF($B$22&gt;0,$B$15/$B$22/12,0)</x:f>
        <x:v>6944.444444444444</x:v>
      </x:c>
      <x:c r="N45" s="41" t="n">
        <x:f>IF($B$22&gt;0,$B$15/$B$22/12,0)</x:f>
        <x:v>6944.444444444444</x:v>
      </x:c>
      <x:c r="O45" s="41" t="n">
        <x:f>IF($B$22&gt;0,$B$15/$B$22/12,0)</x:f>
        <x:v>6944.444444444444</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-41944.444444444445</x:v>
      </x:c>
      <x:c r="E50" s="61" t="n">
        <x:f>E44-E45-E47</x:f>
        <x:v>-10444.444444444445</x:v>
      </x:c>
      <x:c r="F50" s="61" t="n">
        <x:f>F44-F45-F47</x:f>
        <x:v>21055.555555555555</x:v>
      </x:c>
      <x:c r="G50" s="61" t="n">
        <x:f>G44-G45-G47</x:f>
        <x:v>42055.555555555555</x:v>
      </x:c>
      <x:c r="H50" s="61" t="n">
        <x:f>H44-H45-H47</x:f>
        <x:v>52555.555555555555</x:v>
      </x:c>
      <x:c r="I50" s="61" t="n">
        <x:f>I44-I45-I47</x:f>
        <x:v>63055.555555555555</x:v>
      </x:c>
      <x:c r="J50" s="61" t="n">
        <x:f>J44-J45-J47</x:f>
        <x:v>63055.555555555555</x:v>
      </x:c>
      <x:c r="K50" s="61" t="n">
        <x:f>K44-K45-K47</x:f>
        <x:v>73555.55555555556</x:v>
      </x:c>
      <x:c r="L50" s="61" t="n">
        <x:f>L44-L45-L47</x:f>
        <x:v>73555.55555555556</x:v>
      </x:c>
      <x:c r="M50" s="61" t="n">
        <x:f>M44-M45-M47</x:f>
        <x:v>84055.55555555556</x:v>
      </x:c>
      <x:c r="N50" s="61" t="n">
        <x:f>N44-N45-N47</x:f>
        <x:v>84055.55555555556</x:v>
      </x:c>
      <x:c r="O50" s="61" t="n">
        <x:f>O44-O45-O47</x:f>
        <x:v>94555.55555555556</x:v>
      </x:c>
    </x:row>
    <x:row r="51" ht="20" customHeight="1">
      <x:c r="A51" s="4" t="str">
        <x:v>Customer cash receipts</x:v>
      </x:c>
      <x:c r="B51" s="4"/>
      <x:c r="C51" s="4"/>
      <x:c r="D51" s="41" t="n">
        <x:f>IF($B$19&lt;30,D40*(1-$B$19/30)+0*$B$19/30,IF($B$19&lt;60,0*(2-$B$19/30)+0*($B$19/30-1),IF($B$19&lt;=90,0*(3-$B$19/30)+0*($B$19/30-2),0)))</x:f>
        <x:v>0</x:v>
      </x:c>
      <x:c r="E51" s="41" t="n">
        <x:f>IF($B$19&lt;30,E40*(1-$B$19/30)+D40*$B$19/30,IF($B$19&lt;60,D40*(2-$B$19/30)+0*($B$19/30-1),IF($B$19&lt;=90,0*(3-$B$19/30)+0*($B$19/30-2),0)))</x:f>
        <x:v>450000</x:v>
      </x:c>
      <x:c r="F51" s="41" t="n">
        <x:f>IF($B$19&lt;30,F40*(1-$B$19/30)+E40*$B$19/30,IF($B$19&lt;60,E40*(2-$B$19/30)+D40*($B$19/30-1),IF($B$19&lt;=90,D40*(3-$B$19/30)+0*($B$19/30-2),0)))</x:f>
        <x:v>1035000</x:v>
      </x:c>
      <x:c r="G51" s="41" t="n">
        <x:f>IF($B$19&lt;30,G40*(1-$B$19/30)+F40*$B$19/30,IF($B$19&lt;60,F40*(2-$B$19/30)+E40*($B$19/30-1),IF($B$19&lt;=90,E40*(3-$B$19/30)+D40*($B$19/30-2),0)))</x:f>
        <x:v>1305000</x:v>
      </x:c>
      <x:c r="H51" s="41" t="n">
        <x:f>IF($B$19&lt;30,H40*(1-$B$19/30)+G40*$B$19/30,IF($B$19&lt;60,G40*(2-$B$19/30)+F40*($B$19/30-1),IF($B$19&lt;=90,F40*(3-$B$19/30)+E40*($B$19/30-2),0)))</x:f>
        <x:v>1530000</x:v>
      </x:c>
      <x:c r="I51" s="41" t="n">
        <x:f>IF($B$19&lt;30,I40*(1-$B$19/30)+H40*$B$19/30,IF($B$19&lt;60,H40*(2-$B$19/30)+G40*($B$19/30-1),IF($B$19&lt;=90,G40*(3-$B$19/30)+F40*($B$19/30-2),0)))</x:f>
        <x:v>1665000</x:v>
      </x:c>
      <x:c r="J51" s="41" t="n">
        <x:f>IF($B$19&lt;30,J40*(1-$B$19/30)+I40*$B$19/30,IF($B$19&lt;60,I40*(2-$B$19/30)+H40*($B$19/30-1),IF($B$19&lt;=90,H40*(3-$B$19/30)+G40*($B$19/30-2),0)))</x:f>
        <x:v>1755000</x:v>
      </x:c>
      <x:c r="K51" s="41" t="n">
        <x:f>IF($B$19&lt;30,K40*(1-$B$19/30)+J40*$B$19/30,IF($B$19&lt;60,J40*(2-$B$19/30)+I40*($B$19/30-1),IF($B$19&lt;=90,I40*(3-$B$19/30)+H40*($B$19/30-2),0)))</x:f>
        <x:v>1800000</x:v>
      </x:c>
      <x:c r="L51" s="41" t="n">
        <x:f>IF($B$19&lt;30,L40*(1-$B$19/30)+K40*$B$19/30,IF($B$19&lt;60,K40*(2-$B$19/30)+J40*($B$19/30-1),IF($B$19&lt;=90,J40*(3-$B$19/30)+I40*($B$19/30-2),0)))</x:f>
        <x:v>1845000</x:v>
      </x:c>
      <x:c r="M51" s="41" t="n">
        <x:f>IF($B$19&lt;30,M40*(1-$B$19/30)+L40*$B$19/30,IF($B$19&lt;60,L40*(2-$B$19/30)+K40*($B$19/30-1),IF($B$19&lt;=90,K40*(3-$B$19/30)+J40*($B$19/30-2),0)))</x:f>
        <x:v>1890000</x:v>
      </x:c>
      <x:c r="N51" s="41" t="n">
        <x:f>IF($B$19&lt;30,N40*(1-$B$19/30)+M40*$B$19/30,IF($B$19&lt;60,M40*(2-$B$19/30)+L40*($B$19/30-1),IF($B$19&lt;=90,L40*(3-$B$19/30)+K40*($B$19/30-2),0)))</x:f>
        <x:v>1935000</x:v>
      </x:c>
      <x:c r="O51" s="41" t="n">
        <x:f>IF($B$19&lt;30,O40*(1-$B$19/30)+N40*$B$19/30,IF($B$19&lt;60,N40*(2-$B$19/30)+M40*($B$19/30-1),IF($B$19&lt;=90,M40*(3-$B$19/30)+L40*($B$19/30-2),0)))</x:f>
        <x:v>1980000</x:v>
      </x:c>
    </x:row>
    <x:row r="52" ht="20" customHeight="1">
      <x:c r="A52" s="4" t="str">
        <x:v>Closing receivables</x:v>
      </x:c>
      <x:c r="B52" s="4"/>
      <x:c r="C52" s="4"/>
      <x:c r="D52" s="41" t="n">
        <x:f>0+D40-D51</x:f>
        <x:v>900000</x:v>
      </x:c>
      <x:c r="E52" s="41" t="n">
        <x:f>D52+E40-E51</x:f>
        <x:v>1620000</x:v>
      </x:c>
      <x:c r="F52" s="41" t="n">
        <x:f>E52+F40-F51</x:f>
        <x:v>2025000</x:v>
      </x:c>
      <x:c r="G52" s="41" t="n">
        <x:f>F52+G40-G51</x:f>
        <x:v>2340000</x:v>
      </x:c>
      <x:c r="H52" s="41" t="n">
        <x:f>G52+H40-H51</x:f>
        <x:v>2520000</x:v>
      </x:c>
      <x:c r="I52" s="41" t="n">
        <x:f>H52+I40-I51</x:f>
        <x:v>2655000</x:v>
      </x:c>
      <x:c r="J52" s="41" t="n">
        <x:f>I52+J40-J51</x:f>
        <x:v>2700000</x:v>
      </x:c>
      <x:c r="K52" s="41" t="n">
        <x:f>J52+K40-K51</x:f>
        <x:v>2790000</x:v>
      </x:c>
      <x:c r="L52" s="41" t="n">
        <x:f>K52+L40-L51</x:f>
        <x:v>2835000</x:v>
      </x:c>
      <x:c r="M52" s="41" t="n">
        <x:f>L52+M40-M51</x:f>
        <x:v>2925000</x:v>
      </x:c>
      <x:c r="N52" s="41" t="n">
        <x:f>M52+N40-N51</x:f>
        <x:v>2970000</x:v>
      </x:c>
      <x:c r="O52" s="41" t="n">
        <x:f>N52+O40-O51</x:f>
        <x:v>3060000</x:v>
      </x:c>
    </x:row>
    <x:row r="53" ht="20" customHeight="1">
      <x:c r="A53" s="4" t="str">
        <x:v>Closing inventory target</x:v>
      </x:c>
      <x:c r="B53" s="4"/>
      <x:c r="C53" s="4"/>
      <x:c r="D53" s="41" t="n">
        <x:f>D41*$B$13*$B$20/30</x:f>
        <x:v>0</x:v>
      </x:c>
      <x:c r="E53" s="41" t="n">
        <x:f>E41*$B$13*$B$20/30</x:f>
        <x:v>0</x:v>
      </x:c>
      <x:c r="F53" s="41" t="n">
        <x:f>F41*$B$13*$B$20/30</x:f>
        <x:v>0</x:v>
      </x:c>
      <x:c r="G53" s="41" t="n">
        <x:f>G41*$B$13*$B$20/30</x:f>
        <x:v>0</x:v>
      </x:c>
      <x:c r="H53" s="41" t="n">
        <x:f>H41*$B$13*$B$20/30</x:f>
        <x:v>0</x:v>
      </x:c>
      <x:c r="I53" s="41" t="n">
        <x:f>I41*$B$13*$B$20/30</x:f>
        <x:v>0</x:v>
      </x:c>
      <x:c r="J53" s="41" t="n">
        <x:f>J41*$B$13*$B$20/30</x:f>
        <x:v>0</x:v>
      </x:c>
      <x:c r="K53" s="41" t="n">
        <x:f>K41*$B$13*$B$20/30</x:f>
        <x:v>0</x:v>
      </x:c>
      <x:c r="L53" s="41" t="n">
        <x:f>L41*$B$13*$B$20/30</x:f>
        <x:v>0</x:v>
      </x:c>
      <x:c r="M53" s="41" t="n">
        <x:f>M41*$B$13*$B$20/30</x:f>
        <x:v>0</x:v>
      </x:c>
      <x:c r="N53" s="41" t="n">
        <x:f>N41*$B$13*$B$20/30</x:f>
        <x:v>0</x:v>
      </x:c>
      <x:c r="O53" s="41" t="n">
        <x:f>O41*$B$13*$B$20/30</x:f>
        <x:v>0</x:v>
      </x:c>
    </x:row>
    <x:row r="54" ht="20" customHeight="1">
      <x:c r="A54" s="4" t="str">
        <x:v>Change in inventory</x:v>
      </x:c>
      <x:c r="B54" s="4"/>
      <x:c r="C54" s="4"/>
      <x:c r="D54" s="41" t="n">
        <x:f>D53-0</x:f>
        <x:v>0</x:v>
      </x:c>
      <x:c r="E54" s="41" t="n">
        <x:f>E53-D53</x:f>
        <x:v>0</x:v>
      </x:c>
      <x:c r="F54" s="41" t="n">
        <x:f>F53-E53</x:f>
        <x:v>0</x:v>
      </x:c>
      <x:c r="G54" s="41" t="n">
        <x:f>G53-F53</x:f>
        <x:v>0</x:v>
      </x:c>
      <x:c r="H54" s="41" t="n">
        <x:f>H53-G53</x:f>
        <x:v>0</x:v>
      </x:c>
      <x:c r="I54" s="41" t="n">
        <x:f>I53-H53</x:f>
        <x:v>0</x:v>
      </x:c>
      <x:c r="J54" s="41" t="n">
        <x:f>J53-I53</x:f>
        <x:v>0</x:v>
      </x:c>
      <x:c r="K54" s="41" t="n">
        <x:f>K53-J53</x:f>
        <x:v>0</x:v>
      </x:c>
      <x:c r="L54" s="41" t="n">
        <x:f>L53-K53</x:f>
        <x:v>0</x:v>
      </x:c>
      <x:c r="M54" s="41" t="n">
        <x:f>M53-L53</x:f>
        <x:v>0</x:v>
      </x:c>
      <x:c r="N54" s="41" t="n">
        <x:f>N53-M53</x:f>
        <x:v>0</x:v>
      </x:c>
      <x:c r="O54" s="41" t="n">
        <x:f>O53-N53</x:f>
        <x:v>0</x:v>
      </x:c>
    </x:row>
    <x:row r="55" ht="20" customHeight="1">
      <x:c r="A55" s="4" t="str">
        <x:v>Purchases / variable cash obligation</x:v>
      </x:c>
      <x:c r="B55" s="4"/>
      <x:c r="C55" s="4"/>
      <x:c r="D55" s="41" t="n">
        <x:f>D41+D54</x:f>
        <x:v>795000</x:v>
      </x:c>
      <x:c r="E55" s="41" t="n">
        <x:f>E41+E54</x:f>
        <x:v>1033500</x:v>
      </x:c>
      <x:c r="F55" s="41" t="n">
        <x:f>F41+F54</x:f>
        <x:v>1272000</x:v>
      </x:c>
      <x:c r="G55" s="41" t="n">
        <x:f>G41+G54</x:f>
        <x:v>1431000</x:v>
      </x:c>
      <x:c r="H55" s="41" t="n">
        <x:f>H41+H54</x:f>
        <x:v>1510500</x:v>
      </x:c>
      <x:c r="I55" s="41" t="n">
        <x:f>I41+I54</x:f>
        <x:v>1590000</x:v>
      </x:c>
      <x:c r="J55" s="41" t="n">
        <x:f>J41+J54</x:f>
        <x:v>1590000</x:v>
      </x:c>
      <x:c r="K55" s="41" t="n">
        <x:f>K41+K54</x:f>
        <x:v>1669500</x:v>
      </x:c>
      <x:c r="L55" s="41" t="n">
        <x:f>L41+L54</x:f>
        <x:v>1669500</x:v>
      </x:c>
      <x:c r="M55" s="41" t="n">
        <x:f>M41+M54</x:f>
        <x:v>1749000</x:v>
      </x:c>
      <x:c r="N55" s="41" t="n">
        <x:f>N41+N54</x:f>
        <x:v>1749000</x:v>
      </x:c>
      <x:c r="O55" s="41" t="n">
        <x:f>O41+O54</x:f>
        <x:v>1828500</x:v>
      </x:c>
    </x:row>
    <x:row r="56" ht="20" customHeight="1">
      <x:c r="A56" s="4" t="str">
        <x:v>Credit-eligible purchases</x:v>
      </x:c>
      <x:c r="B56" s="4"/>
      <x:c r="C56" s="4"/>
      <x:c r="D56" s="41" t="n">
        <x:f>D55*$B$14</x:f>
        <x:v>0</x:v>
      </x:c>
      <x:c r="E56" s="41" t="n">
        <x:f>E55*$B$14</x:f>
        <x:v>0</x:v>
      </x:c>
      <x:c r="F56" s="41" t="n">
        <x:f>F55*$B$14</x:f>
        <x:v>0</x:v>
      </x:c>
      <x:c r="G56" s="41" t="n">
        <x:f>G55*$B$14</x:f>
        <x:v>0</x:v>
      </x:c>
      <x:c r="H56" s="41" t="n">
        <x:f>H55*$B$14</x:f>
        <x:v>0</x:v>
      </x:c>
      <x:c r="I56" s="41" t="n">
        <x:f>I55*$B$14</x:f>
        <x:v>0</x:v>
      </x:c>
      <x:c r="J56" s="41" t="n">
        <x:f>J55*$B$14</x:f>
        <x:v>0</x:v>
      </x:c>
      <x:c r="K56" s="41" t="n">
        <x:f>K55*$B$14</x:f>
        <x:v>0</x:v>
      </x:c>
      <x:c r="L56" s="41" t="n">
        <x:f>L55*$B$14</x:f>
        <x:v>0</x:v>
      </x:c>
      <x:c r="M56" s="41" t="n">
        <x:f>M55*$B$14</x:f>
        <x:v>0</x:v>
      </x:c>
      <x:c r="N56" s="41" t="n">
        <x:f>N55*$B$14</x:f>
        <x:v>0</x:v>
      </x:c>
      <x:c r="O56" s="41" t="n">
        <x:f>O55*$B$14</x:f>
        <x:v>0</x:v>
      </x:c>
    </x:row>
    <x:row r="57" ht="20" customHeight="1">
      <x:c r="A57" s="4" t="str">
        <x:v>Cash paid for variable costs</x:v>
      </x:c>
      <x:c r="B57" s="4"/>
      <x:c r="C57" s="4"/>
      <x:c r="D57" s="41" t="n">
        <x:f>D55-D56+IF($B$21&lt;30,D56*(1-$B$21/30)+0*$B$21/30,IF($B$21&lt;60,0*(2-$B$21/30)+0*($B$21/30-1),IF($B$21&lt;=90,0*(3-$B$21/30)+0*($B$21/30-2),0)))</x:f>
        <x:v>795000</x:v>
      </x:c>
      <x:c r="E57" s="41" t="n">
        <x:f>E55-E56+IF($B$21&lt;30,E56*(1-$B$21/30)+D56*$B$21/30,IF($B$21&lt;60,D56*(2-$B$21/30)+0*($B$21/30-1),IF($B$21&lt;=90,0*(3-$B$21/30)+0*($B$21/30-2),0)))</x:f>
        <x:v>1033500</x:v>
      </x:c>
      <x:c r="F57" s="41" t="n">
        <x:f>F55-F56+IF($B$21&lt;30,F56*(1-$B$21/30)+E56*$B$21/30,IF($B$21&lt;60,E56*(2-$B$21/30)+D56*($B$21/30-1),IF($B$21&lt;=90,D56*(3-$B$21/30)+0*($B$21/30-2),0)))</x:f>
        <x:v>1272000</x:v>
      </x:c>
      <x:c r="G57" s="41" t="n">
        <x:f>G55-G56+IF($B$21&lt;30,G56*(1-$B$21/30)+F56*$B$21/30,IF($B$21&lt;60,F56*(2-$B$21/30)+E56*($B$21/30-1),IF($B$21&lt;=90,E56*(3-$B$21/30)+D56*($B$21/30-2),0)))</x:f>
        <x:v>1431000</x:v>
      </x:c>
      <x:c r="H57" s="41" t="n">
        <x:f>H55-H56+IF($B$21&lt;30,H56*(1-$B$21/30)+G56*$B$21/30,IF($B$21&lt;60,G56*(2-$B$21/30)+F56*($B$21/30-1),IF($B$21&lt;=90,F56*(3-$B$21/30)+E56*($B$21/30-2),0)))</x:f>
        <x:v>1510500</x:v>
      </x:c>
      <x:c r="I57" s="41" t="n">
        <x:f>I55-I56+IF($B$21&lt;30,I56*(1-$B$21/30)+H56*$B$21/30,IF($B$21&lt;60,H56*(2-$B$21/30)+G56*($B$21/30-1),IF($B$21&lt;=90,G56*(3-$B$21/30)+F56*($B$21/30-2),0)))</x:f>
        <x:v>1590000</x:v>
      </x:c>
      <x:c r="J57" s="41" t="n">
        <x:f>J55-J56+IF($B$21&lt;30,J56*(1-$B$21/30)+I56*$B$21/30,IF($B$21&lt;60,I56*(2-$B$21/30)+H56*($B$21/30-1),IF($B$21&lt;=90,H56*(3-$B$21/30)+G56*($B$21/30-2),0)))</x:f>
        <x:v>1590000</x:v>
      </x:c>
      <x:c r="K57" s="41" t="n">
        <x:f>K55-K56+IF($B$21&lt;30,K56*(1-$B$21/30)+J56*$B$21/30,IF($B$21&lt;60,J56*(2-$B$21/30)+I56*($B$21/30-1),IF($B$21&lt;=90,I56*(3-$B$21/30)+H56*($B$21/30-2),0)))</x:f>
        <x:v>1669500</x:v>
      </x:c>
      <x:c r="L57" s="41" t="n">
        <x:f>L55-L56+IF($B$21&lt;30,L56*(1-$B$21/30)+K56*$B$21/30,IF($B$21&lt;60,K56*(2-$B$21/30)+J56*($B$21/30-1),IF($B$21&lt;=90,J56*(3-$B$21/30)+I56*($B$21/30-2),0)))</x:f>
        <x:v>1669500</x:v>
      </x:c>
      <x:c r="M57" s="41" t="n">
        <x:f>M55-M56+IF($B$21&lt;30,M56*(1-$B$21/30)+L56*$B$21/30,IF($B$21&lt;60,L56*(2-$B$21/30)+K56*($B$21/30-1),IF($B$21&lt;=90,K56*(3-$B$21/30)+J56*($B$21/30-2),0)))</x:f>
        <x:v>1749000</x:v>
      </x:c>
      <x:c r="N57" s="41" t="n">
        <x:f>N55-N56+IF($B$21&lt;30,N56*(1-$B$21/30)+M56*$B$21/30,IF($B$21&lt;60,M56*(2-$B$21/30)+L56*($B$21/30-1),IF($B$21&lt;=90,L56*(3-$B$21/30)+K56*($B$21/30-2),0)))</x:f>
        <x:v>1749000</x:v>
      </x:c>
      <x:c r="O57" s="41" t="n">
        <x:f>O55-O56+IF($B$21&lt;30,O56*(1-$B$21/30)+N56*$B$21/30,IF($B$21&lt;60,N56*(2-$B$21/30)+M56*($B$21/30-1),IF($B$21&lt;=90,M56*(3-$B$21/30)+L56*($B$21/30-2),0)))</x:f>
        <x:v>1828500</x:v>
      </x:c>
    </x:row>
    <x:row r="58" ht="20" customHeight="1">
      <x:c r="A58" s="4" t="str">
        <x:v>Closing trade payables</x:v>
      </x:c>
      <x:c r="B58" s="4"/>
      <x:c r="C58" s="4"/>
      <x:c r="D58" s="41" t="n">
        <x:f>0+D56-(IF($B$21&lt;30,D56*(1-$B$21/30)+0*$B$21/30,IF($B$21&lt;60,0*(2-$B$21/30)+0*($B$21/30-1),IF($B$21&lt;=90,0*(3-$B$21/30)+0*($B$21/30-2),0))))</x:f>
        <x:v>0</x:v>
      </x:c>
      <x:c r="E58" s="41" t="n">
        <x:f>D58+E56-(IF($B$21&lt;30,E56*(1-$B$21/30)+D56*$B$21/30,IF($B$21&lt;60,D56*(2-$B$21/30)+0*($B$21/30-1),IF($B$21&lt;=90,0*(3-$B$21/30)+0*($B$21/30-2),0))))</x:f>
        <x:v>0</x:v>
      </x:c>
      <x:c r="F58" s="41" t="n">
        <x:f>E58+F56-(IF($B$21&lt;30,F56*(1-$B$21/30)+E56*$B$21/30,IF($B$21&lt;60,E56*(2-$B$21/30)+D56*($B$21/30-1),IF($B$21&lt;=90,D56*(3-$B$21/30)+0*($B$21/30-2),0))))</x:f>
        <x:v>0</x:v>
      </x:c>
      <x:c r="G58" s="41" t="n">
        <x:f>F58+G56-(IF($B$21&lt;30,G56*(1-$B$21/30)+F56*$B$21/30,IF($B$21&lt;60,F56*(2-$B$21/30)+E56*($B$21/30-1),IF($B$21&lt;=90,E56*(3-$B$21/30)+D56*($B$21/30-2),0))))</x:f>
        <x:v>0</x:v>
      </x:c>
      <x:c r="H58" s="41" t="n">
        <x:f>G58+H56-(IF($B$21&lt;30,H56*(1-$B$21/30)+G56*$B$21/30,IF($B$21&lt;60,G56*(2-$B$21/30)+F56*($B$21/30-1),IF($B$21&lt;=90,F56*(3-$B$21/30)+E56*($B$21/30-2),0))))</x:f>
        <x:v>0</x:v>
      </x:c>
      <x:c r="I58" s="41" t="n">
        <x:f>H58+I56-(IF($B$21&lt;30,I56*(1-$B$21/30)+H56*$B$21/30,IF($B$21&lt;60,H56*(2-$B$21/30)+G56*($B$21/30-1),IF($B$21&lt;=90,G56*(3-$B$21/30)+F56*($B$21/30-2),0))))</x:f>
        <x:v>0</x:v>
      </x:c>
      <x:c r="J58" s="41" t="n">
        <x:f>I58+J56-(IF($B$21&lt;30,J56*(1-$B$21/30)+I56*$B$21/30,IF($B$21&lt;60,I56*(2-$B$21/30)+H56*($B$21/30-1),IF($B$21&lt;=90,H56*(3-$B$21/30)+G56*($B$21/30-2),0))))</x:f>
        <x:v>0</x:v>
      </x:c>
      <x:c r="K58" s="41" t="n">
        <x:f>J58+K56-(IF($B$21&lt;30,K56*(1-$B$21/30)+J56*$B$21/30,IF($B$21&lt;60,J56*(2-$B$21/30)+I56*($B$21/30-1),IF($B$21&lt;=90,I56*(3-$B$21/30)+H56*($B$21/30-2),0))))</x:f>
        <x:v>0</x:v>
      </x:c>
      <x:c r="L58" s="41" t="n">
        <x:f>K58+L56-(IF($B$21&lt;30,L56*(1-$B$21/30)+K56*$B$21/30,IF($B$21&lt;60,K56*(2-$B$21/30)+J56*($B$21/30-1),IF($B$21&lt;=90,J56*(3-$B$21/30)+I56*($B$21/30-2),0))))</x:f>
        <x:v>0</x:v>
      </x:c>
      <x:c r="M58" s="41" t="n">
        <x:f>L58+M56-(IF($B$21&lt;30,M56*(1-$B$21/30)+L56*$B$21/30,IF($B$21&lt;60,L56*(2-$B$21/30)+K56*($B$21/30-1),IF($B$21&lt;=90,K56*(3-$B$21/30)+J56*($B$21/30-2),0))))</x:f>
        <x:v>0</x:v>
      </x:c>
      <x:c r="N58" s="41" t="n">
        <x:f>M58+N56-(IF($B$21&lt;30,N56*(1-$B$21/30)+M56*$B$21/30,IF($B$21&lt;60,M56*(2-$B$21/30)+L56*($B$21/30-1),IF($B$21&lt;=90,L56*(3-$B$21/30)+K56*($B$21/30-2),0))))</x:f>
        <x:v>0</x:v>
      </x:c>
      <x:c r="O58" s="41" t="n">
        <x:f>N58+O56-(IF($B$21&lt;30,O56*(1-$B$21/30)+N56*$B$21/30,IF($B$21&lt;60,N56*(2-$B$21/30)+M56*($B$21/30-1),IF($B$21&lt;=90,M56*(3-$B$21/30)+L56*($B$21/30-2),0))))</x:f>
        <x:v>0</x:v>
      </x:c>
    </x:row>
    <x:row r="59" ht="20" customHeight="1">
      <x:c r="A59" s="60" t="str">
        <x:v>Operating cash before interest/tax</x:v>
      </x:c>
      <x:c r="B59" s="60"/>
      <x:c r="C59" s="60"/>
      <x:c r="D59" s="61" t="n">
        <x:f>D51-D57-D43</x:f>
        <x:v>-935000</x:v>
      </x:c>
      <x:c r="E59" s="61" t="n">
        <x:f>E51-E57-E43</x:f>
        <x:v>-723500</x:v>
      </x:c>
      <x:c r="F59" s="61" t="n">
        <x:f>F51-F57-F43</x:f>
        <x:v>-377000</x:v>
      </x:c>
      <x:c r="G59" s="61" t="n">
        <x:f>G51-G57-G43</x:f>
        <x:v>-266000</x:v>
      </x:c>
      <x:c r="H59" s="61" t="n">
        <x:f>H51-H57-H43</x:f>
        <x:v>-120500</x:v>
      </x:c>
      <x:c r="I59" s="61" t="n">
        <x:f>I51-I57-I43</x:f>
        <x:v>-65000</x:v>
      </x:c>
      <x:c r="J59" s="61" t="n">
        <x:f>J51-J57-J43</x:f>
        <x:v>25000</x:v>
      </x:c>
      <x:c r="K59" s="61" t="n">
        <x:f>K51-K57-K43</x:f>
        <x:v>-9500</x:v>
      </x:c>
      <x:c r="L59" s="61" t="n">
        <x:f>L51-L57-L43</x:f>
        <x:v>35500</x:v>
      </x:c>
      <x:c r="M59" s="61" t="n">
        <x:f>M51-M57-M43</x:f>
        <x:v>1000</x:v>
      </x:c>
      <x:c r="N59" s="61" t="n">
        <x:f>N51-N57-N43</x:f>
        <x:v>46000</x:v>
      </x:c>
      <x:c r="O59" s="61" t="n">
        <x:f>O51-O57-O43</x:f>
        <x:v>11500</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-935000</x:v>
      </x:c>
      <x:c r="E62" s="61" t="n">
        <x:f>E59-E47-E48-E60-E61</x:f>
        <x:v>-723500</x:v>
      </x:c>
      <x:c r="F62" s="61" t="n">
        <x:f>F59-F47-F48-F60-F61</x:f>
        <x:v>-377000</x:v>
      </x:c>
      <x:c r="G62" s="61" t="n">
        <x:f>G59-G47-G48-G60-G61</x:f>
        <x:v>-266000</x:v>
      </x:c>
      <x:c r="H62" s="61" t="n">
        <x:f>H59-H47-H48-H60-H61</x:f>
        <x:v>-120500</x:v>
      </x:c>
      <x:c r="I62" s="61" t="n">
        <x:f>I59-I47-I48-I60-I61</x:f>
        <x:v>-65000</x:v>
      </x:c>
      <x:c r="J62" s="61" t="n">
        <x:f>J59-J47-J48-J60-J61</x:f>
        <x:v>25000</x:v>
      </x:c>
      <x:c r="K62" s="61" t="n">
        <x:f>K59-K47-K48-K60-K61</x:f>
        <x:v>-9500</x:v>
      </x:c>
      <x:c r="L62" s="61" t="n">
        <x:f>L59-L47-L48-L60-L61</x:f>
        <x:v>35500</x:v>
      </x:c>
      <x:c r="M62" s="61" t="n">
        <x:f>M59-M47-M48-M60-M61</x:f>
        <x:v>1000</x:v>
      </x:c>
      <x:c r="N62" s="61" t="n">
        <x:f>N59-N47-N48-N60-N61</x:f>
        <x:v>46000</x:v>
      </x:c>
      <x:c r="O62" s="61" t="n">
        <x:f>O59-O47-O48-O60-O61</x:f>
        <x:v>11500</x:v>
      </x:c>
    </x:row>
    <x:row r="63" ht="20" customHeight="1">
      <x:c r="A63" s="4" t="str">
        <x:v>Opening cash</x:v>
      </x:c>
      <x:c r="B63" s="4"/>
      <x:c r="C63" s="4"/>
      <x:c r="D63" s="41" t="n">
        <x:f>$B$18</x:f>
        <x:v>1600000</x:v>
      </x:c>
      <x:c r="E63" s="41" t="n">
        <x:f>D64</x:f>
        <x:v>665000</x:v>
      </x:c>
      <x:c r="F63" s="41" t="n">
        <x:f>E64</x:f>
        <x:v>-58500</x:v>
      </x:c>
      <x:c r="G63" s="41" t="n">
        <x:f>F64</x:f>
        <x:v>-435500</x:v>
      </x:c>
      <x:c r="H63" s="41" t="n">
        <x:f>G64</x:f>
        <x:v>-701500</x:v>
      </x:c>
      <x:c r="I63" s="41" t="n">
        <x:f>H64</x:f>
        <x:v>-822000</x:v>
      </x:c>
      <x:c r="J63" s="41" t="n">
        <x:f>I64</x:f>
        <x:v>-887000</x:v>
      </x:c>
      <x:c r="K63" s="41" t="n">
        <x:f>J64</x:f>
        <x:v>-862000</x:v>
      </x:c>
      <x:c r="L63" s="41" t="n">
        <x:f>K64</x:f>
        <x:v>-871500</x:v>
      </x:c>
      <x:c r="M63" s="41" t="n">
        <x:f>L64</x:f>
        <x:v>-836000</x:v>
      </x:c>
      <x:c r="N63" s="41" t="n">
        <x:f>M64</x:f>
        <x:v>-835000</x:v>
      </x:c>
      <x:c r="O63" s="41" t="n">
        <x:f>N64</x:f>
        <x:v>-789000</x:v>
      </x:c>
    </x:row>
    <x:row r="64" ht="20" customHeight="1">
      <x:c r="A64" s="60" t="str">
        <x:v>Closing cash</x:v>
      </x:c>
      <x:c r="B64" s="60"/>
      <x:c r="C64" s="60"/>
      <x:c r="D64" s="61" t="n">
        <x:f>D63+D62</x:f>
        <x:v>665000</x:v>
      </x:c>
      <x:c r="E64" s="61" t="n">
        <x:f>E63+E62</x:f>
        <x:v>-58500</x:v>
      </x:c>
      <x:c r="F64" s="61" t="n">
        <x:f>F63+F62</x:f>
        <x:v>-435500</x:v>
      </x:c>
      <x:c r="G64" s="61" t="n">
        <x:f>G63+G62</x:f>
        <x:v>-701500</x:v>
      </x:c>
      <x:c r="H64" s="61" t="n">
        <x:f>H63+H62</x:f>
        <x:v>-822000</x:v>
      </x:c>
      <x:c r="I64" s="61" t="n">
        <x:f>I63+I62</x:f>
        <x:v>-887000</x:v>
      </x:c>
      <x:c r="J64" s="61" t="n">
        <x:f>J63+J62</x:f>
        <x:v>-862000</x:v>
      </x:c>
      <x:c r="K64" s="61" t="n">
        <x:f>K63+K62</x:f>
        <x:v>-871500</x:v>
      </x:c>
      <x:c r="L64" s="61" t="n">
        <x:f>L63+L62</x:f>
        <x:v>-836000</x:v>
      </x:c>
      <x:c r="M64" s="61" t="n">
        <x:f>M63+M62</x:f>
        <x:v>-835000</x:v>
      </x:c>
      <x:c r="N64" s="61" t="n">
        <x:f>N63+N62</x:f>
        <x:v>-789000</x:v>
      </x:c>
      <x:c r="O64" s="61" t="n">
        <x:f>O63+O62</x:f>
        <x:v>-777500</x:v>
      </x:c>
    </x:row>
    <x:row r="65" ht="20" customHeight="1">
      <x:c r="A65" s="60" t="str">
        <x:v>Additional funding if closing cash &lt; 0</x:v>
      </x:c>
      <x:c r="B65" s="60"/>
      <x:c r="C65" s="60"/>
      <x:c r="D65" s="61" t="n">
        <x:f>MAX(0,-D64)</x:f>
        <x:v>0</x:v>
      </x:c>
      <x:c r="E65" s="61" t="n">
        <x:f>MAX(0,-E64)</x:f>
        <x:v>58500</x:v>
      </x:c>
      <x:c r="F65" s="61" t="n">
        <x:f>MAX(0,-F64)</x:f>
        <x:v>435500</x:v>
      </x:c>
      <x:c r="G65" s="61" t="n">
        <x:f>MAX(0,-G64)</x:f>
        <x:v>701500</x:v>
      </x:c>
      <x:c r="H65" s="61" t="n">
        <x:f>MAX(0,-H64)</x:f>
        <x:v>822000</x:v>
      </x:c>
      <x:c r="I65" s="61" t="n">
        <x:f>MAX(0,-I64)</x:f>
        <x:v>887000</x:v>
      </x:c>
      <x:c r="J65" s="61" t="n">
        <x:f>MAX(0,-J64)</x:f>
        <x:v>862000</x:v>
      </x:c>
      <x:c r="K65" s="61" t="n">
        <x:f>MAX(0,-K64)</x:f>
        <x:v>871500</x:v>
      </x:c>
      <x:c r="L65" s="61" t="n">
        <x:f>MAX(0,-L64)</x:f>
        <x:v>836000</x:v>
      </x:c>
      <x:c r="M65" s="61" t="n">
        <x:f>MAX(0,-M64)</x:f>
        <x:v>835000</x:v>
      </x:c>
      <x:c r="N65" s="61" t="n">
        <x:f>MAX(0,-N64)</x:f>
        <x:v>789000</x:v>
      </x:c>
      <x:c r="O65" s="61" t="n">
        <x:f>MAX(0,-O64)</x:f>
        <x:v>777500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FUNDING GAP</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FUNDING GAP</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FUNDING GAP</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FUNDING GAP</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FUNDING GAP</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FUNDING GAP</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FUNDING GAP</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FUNDING GAP</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FUNDING GAP</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FUNDING GAP</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FUNDING GAP</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2070000</x:v>
      </x:c>
      <x:c r="C71" s="4"/>
      <x:c r="D71" s="2"/>
      <x:c r="E71" s="2"/>
      <x:c r="F71" s="2"/>
      <x:c r="G71" s="2"/>
      <x:c r="H71" s="2"/>
      <x:c r="I71" s="2"/>
      <x:c r="J71" s="2"/>
      <x:c r="K71" s="2"/>
      <x:c r="L71" s="2"/>
      <x:c r="M71" s="2"/>
      <x:c r="N71" s="2"/>
      <x:c r="O71" s="2"/>
    </x:row>
    <x:row r="72" ht="28" customHeight="1">
      <x:c r="A72" s="4" t="str">
        <x:v>Equity funding at startup</x:v>
      </x:c>
      <x:c r="B72" s="66" t="n">
        <x:f>MAX(0,SUM(B15:B18)-B23)</x:f>
        <x:v>2070000</x:v>
      </x:c>
      <x:c r="C72" s="4"/>
      <x:c r="D72" s="2"/>
      <x:c r="E72" s="2"/>
      <x:c r="F72" s="2"/>
      <x:c r="G72" s="2"/>
      <x:c r="H72" s="2"/>
      <x:c r="I72" s="2"/>
      <x:c r="J72" s="2"/>
      <x:c r="K72" s="2"/>
      <x:c r="L72" s="2"/>
      <x:c r="M72" s="2"/>
      <x:c r="N72" s="2"/>
      <x:c r="O72" s="2"/>
    </x:row>
    <x:row r="73" ht="28" customHeight="1">
      <x:c r="A73" s="4" t="str">
        <x:v>Steady monthly unit contribution</x:v>
      </x:c>
      <x:c r="B73" s="66" t="n">
        <x:f>B9*B26-B10*B27</x:f>
        <x:v>3500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40</x:v>
      </x:c>
      <x:c r="C74" s="4"/>
      <x:c r="D74" s="2"/>
      <x:c r="E74" s="2"/>
      <x:c r="F74" s="2"/>
      <x:c r="G74" s="2"/>
      <x:c r="H74" s="2"/>
      <x:c r="I74" s="2"/>
      <x:c r="J74" s="2"/>
      <x:c r="K74" s="2"/>
      <x:c r="L74" s="2"/>
      <x:c r="M74" s="2"/>
      <x:c r="N74" s="2"/>
      <x:c r="O74" s="2"/>
    </x:row>
    <x:row r="75" ht="28" customHeight="1">
      <x:c r="A75" s="4" t="str">
        <x:v>Year-one operating cash profit</x:v>
      </x:c>
      <x:c r="B75" s="66" t="n">
        <x:f>SUM(D44:O44)</x:f>
        <x:v>682500</x:v>
      </x:c>
      <x:c r="C75" s="4"/>
      <x:c r="D75" s="2"/>
      <x:c r="E75" s="2"/>
      <x:c r="F75" s="2"/>
      <x:c r="G75" s="2"/>
      <x:c r="H75" s="2"/>
      <x:c r="I75" s="2"/>
      <x:c r="J75" s="2"/>
      <x:c r="K75" s="2"/>
      <x:c r="L75" s="2"/>
      <x:c r="M75" s="2"/>
      <x:c r="N75" s="2"/>
      <x:c r="O75" s="2"/>
    </x:row>
    <x:row r="76" ht="28" customHeight="1">
      <x:c r="A76" s="4" t="str">
        <x:v>Year-one minimum closing cash</x:v>
      </x:c>
      <x:c r="B76" s="66" t="n">
        <x:f>MIN(D64:O64)</x:f>
        <x:v>-887000</x:v>
      </x:c>
      <x:c r="C76" s="4"/>
      <x:c r="D76" s="2"/>
      <x:c r="E76" s="2"/>
      <x:c r="F76" s="2"/>
      <x:c r="G76" s="2"/>
      <x:c r="H76" s="2"/>
      <x:c r="I76" s="2"/>
      <x:c r="J76" s="2"/>
      <x:c r="K76" s="2"/>
      <x:c r="L76" s="2"/>
      <x:c r="M76" s="2"/>
      <x:c r="N76" s="2"/>
      <x:c r="O76" s="2"/>
    </x:row>
    <x:row r="77" ht="28" customHeight="1">
      <x:c r="A77" s="4" t="str">
        <x:v>Additional opening liquidity needed</x:v>
      </x:c>
      <x:c r="B77" s="66" t="n">
        <x:f>MAX(0,-MIN(D64:O64))</x:f>
        <x:v>887000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FUNDING GAP</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12" priority="1">
      <x:formula>D64&lt;0</x:formula>
    </x:cfRule>
  </x:conditionalFormatting>
  <x:conditionalFormatting sqref="D66:O66">
    <x:cfRule type="expression" dxfId="47" priority="2">
      <x:formula>D66&lt;&gt;"OK"</x:formula>
    </x:cfRule>
  </x:conditionalFormatting>
  <x:pageMargins left="0.7" right="0.7" top="0.75" bottom="0.75" header="0.3" footer="0.3"/>
  <x:drawing xmlns:r="http://schemas.openxmlformats.org/officeDocument/2006/relationships" r:id="R013afb7f9e924f0f"/>
  <x:legacyDrawing xmlns:r="http://schemas.openxmlformats.org/officeDocument/2006/relationships" r:id="Rb1378caff6c74303"/>
</x:worksheet>
</file>

<file path=xl/worksheets/sheet12.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PCJ-26 | Commercial Cleaning &amp; Facility Management</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ILLUSTRATIVE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574730</x:v>
      </x:c>
      <x:c r="G7" s="2"/>
      <x:c r="H7" s="2"/>
      <x:c r="I7" s="2"/>
      <x:c r="J7" s="2"/>
      <x:c r="K7" s="2"/>
      <x:c r="L7" s="2"/>
      <x:c r="M7" s="2"/>
      <x:c r="N7" s="2"/>
      <x:c r="O7" s="2"/>
    </x:row>
    <x:row r="8" ht="38" customHeight="1">
      <x:c r="A8" s="90" t="str">
        <x:v>Base monthly units</x:v>
      </x:c>
      <x:c r="B8" s="106" t="n">
        <x:v>12</x:v>
      </x:c>
      <x:c r="C8" s="90" t="str">
        <x:v>Billable output, not leads or maximum capacity.</x:v>
      </x:c>
      <x:c r="D8" s="2"/>
      <x:c r="E8" s="2" t="n">
        <x:v>2</x:v>
      </x:c>
      <x:c r="F8" s="40" t="n">
        <x:f>E64</x:f>
        <x:v>249010</x:v>
      </x:c>
      <x:c r="G8" s="2"/>
      <x:c r="H8" s="2"/>
      <x:c r="I8" s="2"/>
      <x:c r="J8" s="2"/>
      <x:c r="K8" s="2"/>
      <x:c r="L8" s="2"/>
      <x:c r="M8" s="2"/>
      <x:c r="N8" s="2"/>
      <x:c r="O8" s="2"/>
    </x:row>
    <x:row r="9" ht="38" customHeight="1">
      <x:c r="A9" s="90" t="str">
        <x:v>Net realised price / unit (INR)</x:v>
      </x:c>
      <x:c r="B9" s="106" t="n">
        <x:v>70000</x:v>
      </x:c>
      <x:c r="C9" s="90" t="str">
        <x:v>Excludes GST; net of commercial reductions.</x:v>
      </x:c>
      <x:c r="D9" s="2"/>
      <x:c r="E9" s="2" t="n">
        <x:v>3</x:v>
      </x:c>
      <x:c r="F9" s="40" t="n">
        <x:f>F64</x:f>
        <x:v>103710</x:v>
      </x:c>
      <x:c r="G9" s="2"/>
      <x:c r="H9" s="2"/>
      <x:c r="I9" s="2"/>
      <x:c r="J9" s="2"/>
      <x:c r="K9" s="2"/>
      <x:c r="L9" s="2"/>
      <x:c r="M9" s="2"/>
      <x:c r="N9" s="2"/>
      <x:c r="O9" s="2"/>
    </x:row>
    <x:row r="10" ht="38" customHeight="1">
      <x:c r="A10" s="90" t="str">
        <x:v>Variable cash cost / unit (INR)</x:v>
      </x:c>
      <x:c r="B10" s="106" t="n">
        <x:v>50000</x:v>
      </x:c>
      <x:c r="C10" s="90" t="str">
        <x:v>Include expected direct rework/returns where relevant.</x:v>
      </x:c>
      <x:c r="D10" s="2"/>
      <x:c r="E10" s="2" t="n">
        <x:v>4</x:v>
      </x:c>
      <x:c r="F10" s="40" t="n">
        <x:f>G64</x:f>
        <x:v>45955</x:v>
      </x:c>
      <x:c r="G10" s="2"/>
      <x:c r="H10" s="2"/>
      <x:c r="I10" s="2"/>
      <x:c r="J10" s="2"/>
      <x:c r="K10" s="2"/>
      <x:c r="L10" s="2"/>
      <x:c r="M10" s="2"/>
      <x:c r="N10" s="2"/>
      <x:c r="O10" s="2"/>
    </x:row>
    <x:row r="11" ht="38" customHeight="1">
      <x:c r="A11" s="90" t="str">
        <x:v>Fixed monthly cash cost (INR)</x:v>
      </x:c>
      <x:c r="B11" s="106" t="n">
        <x:v>140000</x:v>
      </x:c>
      <x:c r="C11" s="90" t="str">
        <x:v>Include supervision and realistic owner-replacement cost.</x:v>
      </x:c>
      <x:c r="D11" s="2"/>
      <x:c r="E11" s="2" t="n">
        <x:v>5</x:v>
      </x:c>
      <x:c r="F11" s="40" t="n">
        <x:f>H64</x:f>
        <x:v>90850</x:v>
      </x:c>
      <x:c r="G11" s="2"/>
      <x:c r="H11" s="2"/>
      <x:c r="I11" s="2"/>
      <x:c r="J11" s="2"/>
      <x:c r="K11" s="2"/>
      <x:c r="L11" s="2"/>
      <x:c r="M11" s="2"/>
      <x:c r="N11" s="2"/>
      <x:c r="O11" s="2"/>
    </x:row>
    <x:row r="12" ht="38" customHeight="1">
      <x:c r="A12" s="90" t="str">
        <x:v>Safe / saleable monthly capacity</x:v>
      </x:c>
      <x:c r="B12" s="106" t="n">
        <x:v>25</x:v>
      </x:c>
      <x:c r="C12" s="90" t="str">
        <x:v>Planning input; does not certify safe technical capacity.</x:v>
      </x:c>
      <x:c r="D12" s="2"/>
      <x:c r="E12" s="2" t="n">
        <x:v>6</x:v>
      </x:c>
      <x:c r="F12" s="40" t="n">
        <x:f>I64</x:f>
        <x:v>123305</x:v>
      </x:c>
      <x:c r="G12" s="2"/>
      <x:c r="H12" s="2"/>
      <x:c r="I12" s="2"/>
      <x:c r="J12" s="2"/>
      <x:c r="K12" s="2"/>
      <x:c r="L12" s="2"/>
      <x:c r="M12" s="2"/>
      <x:c r="N12" s="2"/>
      <x:c r="O12" s="2"/>
    </x:row>
    <x:row r="13" ht="38" customHeight="1">
      <x:c r="A13" s="90" t="str">
        <x:v>Inventory-eligible share of variable cost</x:v>
      </x:c>
      <x:c r="B13" s="107" t="n">
        <x:v>0.12</x:v>
      </x:c>
      <x:c r="C13" s="90" t="str">
        <x:v>Only this share drives modelled inventory.</x:v>
      </x:c>
      <x:c r="D13" s="2"/>
      <x:c r="E13" s="2" t="n">
        <x:v>7</x:v>
      </x:c>
      <x:c r="F13" s="40" t="n">
        <x:f>J64</x:f>
        <x:v>188200</x:v>
      </x:c>
      <x:c r="G13" s="2"/>
      <x:c r="H13" s="2"/>
      <x:c r="I13" s="2"/>
      <x:c r="J13" s="2"/>
      <x:c r="K13" s="2"/>
      <x:c r="L13" s="2"/>
      <x:c r="M13" s="2"/>
      <x:c r="N13" s="2"/>
      <x:c r="O13" s="2"/>
    </x:row>
    <x:row r="14" ht="38" customHeight="1">
      <x:c r="A14" s="90" t="str">
        <x:v>Supplier-credit share of purchases</x:v>
      </x:c>
      <x:c r="B14" s="107" t="n">
        <x:v>0.15</x:v>
      </x:c>
      <x:c r="C14" s="90" t="str">
        <x:v>Other costs are paid currently; do not defer payroll unlawfully.</x:v>
      </x:c>
      <x:c r="D14" s="2"/>
      <x:c r="E14" s="2" t="n">
        <x:v>8</x:v>
      </x:c>
      <x:c r="F14" s="40" t="n">
        <x:f>K64</x:f>
        <x:v>240655</x:v>
      </x:c>
      <x:c r="G14" s="2"/>
      <x:c r="H14" s="2"/>
      <x:c r="I14" s="2"/>
      <x:c r="J14" s="2"/>
      <x:c r="K14" s="2"/>
      <x:c r="L14" s="2"/>
      <x:c r="M14" s="2"/>
      <x:c r="N14" s="2"/>
      <x:c r="O14" s="2"/>
    </x:row>
    <x:row r="15" ht="38" customHeight="1">
      <x:c r="A15" s="90" t="str">
        <x:v>Initial installed assets (INR)</x:v>
      </x:c>
      <x:c r="B15" s="106" t="n">
        <x:v>500000</x:v>
      </x:c>
      <x:c r="C15" s="90" t="str">
        <x:v>Initial capex; further capex has a separate monthly row.</x:v>
      </x:c>
      <x:c r="D15" s="2"/>
      <x:c r="E15" s="2" t="n">
        <x:v>9</x:v>
      </x:c>
      <x:c r="F15" s="40" t="n">
        <x:f>L64</x:f>
        <x:v>325550</x:v>
      </x:c>
      <x:c r="G15" s="2"/>
      <x:c r="H15" s="2"/>
      <x:c r="I15" s="2"/>
      <x:c r="J15" s="2"/>
      <x:c r="K15" s="2"/>
      <x:c r="L15" s="2"/>
      <x:c r="M15" s="2"/>
      <x:c r="N15" s="2"/>
      <x:c r="O15" s="2"/>
    </x:row>
    <x:row r="16" ht="38" customHeight="1">
      <x:c r="A16" s="90" t="str">
        <x:v>Refundable startup deposits (INR)</x:v>
      </x:c>
      <x:c r="B16" s="106" t="n">
        <x:v>100000</x:v>
      </x:c>
      <x:c r="C16" s="90" t="str">
        <x:v>Cash funding, not immediate operating expense.</x:v>
      </x:c>
      <x:c r="D16" s="2"/>
      <x:c r="E16" s="2" t="n">
        <x:v>10</x:v>
      </x:c>
      <x:c r="F16" s="40" t="n">
        <x:f>M64</x:f>
        <x:v>445550</x:v>
      </x:c>
      <x:c r="G16" s="2"/>
      <x:c r="H16" s="2"/>
      <x:c r="I16" s="2"/>
      <x:c r="J16" s="2"/>
      <x:c r="K16" s="2"/>
      <x:c r="L16" s="2"/>
      <x:c r="M16" s="2"/>
      <x:c r="N16" s="2"/>
      <x:c r="O16" s="2"/>
    </x:row>
    <x:row r="17" ht="38" customHeight="1">
      <x:c r="A17" s="90" t="str">
        <x:v>Pre-opening expense (INR)</x:v>
      </x:c>
      <x:c r="B17" s="106" t="n">
        <x:v>120000</x:v>
      </x:c>
      <x:c r="C17" s="90" t="str">
        <x:v>Before month 1; excluded from forecast EBITDA.</x:v>
      </x:c>
      <x:c r="D17" s="2"/>
      <x:c r="E17" s="2" t="n">
        <x:v>11</x:v>
      </x:c>
      <x:c r="F17" s="40" t="n">
        <x:f>N64</x:f>
        <x:v>565550</x:v>
      </x:c>
      <x:c r="G17" s="2"/>
      <x:c r="H17" s="2"/>
      <x:c r="I17" s="2"/>
      <x:c r="J17" s="2"/>
      <x:c r="K17" s="2"/>
      <x:c r="L17" s="2"/>
      <x:c r="M17" s="2"/>
      <x:c r="N17" s="2"/>
      <x:c r="O17" s="2"/>
    </x:row>
    <x:row r="18" ht="38" customHeight="1">
      <x:c r="A18" s="90" t="str">
        <x:v>Opening cash reserve (INR)</x:v>
      </x:c>
      <x:c r="B18" s="106" t="n">
        <x:v>1000000</x:v>
      </x:c>
      <x:c r="C18" s="90" t="str">
        <x:v>May be insufficient: review minimum closing cash.</x:v>
      </x:c>
      <x:c r="D18" s="2"/>
      <x:c r="E18" s="2" t="n">
        <x:v>12</x:v>
      </x:c>
      <x:c r="F18" s="40" t="n">
        <x:f>O64</x:f>
        <x:v>638005</x:v>
      </x:c>
      <x:c r="G18" s="2"/>
      <x:c r="H18" s="2"/>
      <x:c r="I18" s="2"/>
      <x:c r="J18" s="2"/>
      <x:c r="K18" s="2"/>
      <x:c r="L18" s="2"/>
      <x:c r="M18" s="2"/>
      <x:c r="N18" s="2"/>
      <x:c r="O18" s="2"/>
    </x:row>
    <x:row r="19" ht="38" customHeight="1">
      <x:c r="A19" s="90" t="str">
        <x:v>Collection lag (days; 0–90)</x:v>
      </x:c>
      <x:c r="B19" s="108" t="n">
        <x:v>45</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7</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15</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4</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active site-months.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6</x:v>
      </x:c>
      <x:c r="E36" s="41" t="n">
        <x:f>ROUND($B$8*E35*$B$25,0)</x:f>
        <x:v>8</x:v>
      </x:c>
      <x:c r="F36" s="41" t="n">
        <x:f>ROUND($B$8*F35*$B$25,0)</x:f>
        <x:v>10</x:v>
      </x:c>
      <x:c r="G36" s="41" t="n">
        <x:f>ROUND($B$8*G35*$B$25,0)</x:f>
        <x:v>11</x:v>
      </x:c>
      <x:c r="H36" s="41" t="n">
        <x:f>ROUND($B$8*H35*$B$25,0)</x:f>
        <x:v>11</x:v>
      </x:c>
      <x:c r="I36" s="41" t="n">
        <x:f>ROUND($B$8*I35*$B$25,0)</x:f>
        <x:v>12</x:v>
      </x:c>
      <x:c r="J36" s="41" t="n">
        <x:f>ROUND($B$8*J35*$B$25,0)</x:f>
        <x:v>12</x:v>
      </x:c>
      <x:c r="K36" s="41" t="n">
        <x:f>ROUND($B$8*K35*$B$25,0)</x:f>
        <x:v>13</x:v>
      </x:c>
      <x:c r="L36" s="41" t="n">
        <x:f>ROUND($B$8*L35*$B$25,0)</x:f>
        <x:v>13</x:v>
      </x:c>
      <x:c r="M36" s="41" t="n">
        <x:f>ROUND($B$8*M35*$B$25,0)</x:f>
        <x:v>13</x:v>
      </x:c>
      <x:c r="N36" s="41" t="n">
        <x:f>ROUND($B$8*N35*$B$25,0)</x:f>
        <x:v>13</x:v>
      </x:c>
      <x:c r="O36" s="41" t="n">
        <x:f>ROUND($B$8*O35*$B$25,0)</x:f>
        <x:v>14</x:v>
      </x:c>
    </x:row>
    <x:row r="37" ht="20" customHeight="1">
      <x:c r="A37" s="4" t="str">
        <x:v>Safe / saleable capacity</x:v>
      </x:c>
      <x:c r="B37" s="4"/>
      <x:c r="C37" s="4"/>
      <x:c r="D37" s="41" t="n">
        <x:f>$B$12</x:f>
        <x:v>25</x:v>
      </x:c>
      <x:c r="E37" s="41" t="n">
        <x:f>$B$12</x:f>
        <x:v>25</x:v>
      </x:c>
      <x:c r="F37" s="41" t="n">
        <x:f>$B$12</x:f>
        <x:v>25</x:v>
      </x:c>
      <x:c r="G37" s="41" t="n">
        <x:f>$B$12</x:f>
        <x:v>25</x:v>
      </x:c>
      <x:c r="H37" s="41" t="n">
        <x:f>$B$12</x:f>
        <x:v>25</x:v>
      </x:c>
      <x:c r="I37" s="41" t="n">
        <x:f>$B$12</x:f>
        <x:v>25</x:v>
      </x:c>
      <x:c r="J37" s="41" t="n">
        <x:f>$B$12</x:f>
        <x:v>25</x:v>
      </x:c>
      <x:c r="K37" s="41" t="n">
        <x:f>$B$12</x:f>
        <x:v>25</x:v>
      </x:c>
      <x:c r="L37" s="41" t="n">
        <x:f>$B$12</x:f>
        <x:v>25</x:v>
      </x:c>
      <x:c r="M37" s="41" t="n">
        <x:f>$B$12</x:f>
        <x:v>25</x:v>
      </x:c>
      <x:c r="N37" s="41" t="n">
        <x:f>$B$12</x:f>
        <x:v>25</x:v>
      </x:c>
      <x:c r="O37" s="41" t="n">
        <x:f>$B$12</x:f>
        <x:v>25</x:v>
      </x:c>
    </x:row>
    <x:row r="38" ht="20" customHeight="1">
      <x:c r="A38" s="4" t="str">
        <x:v>Capacity utilisation</x:v>
      </x:c>
      <x:c r="B38" s="4"/>
      <x:c r="C38" s="4"/>
      <x:c r="D38" s="46" t="n">
        <x:f>IF(D37&gt;0,D36/D37,0)</x:f>
        <x:v>0.24</x:v>
      </x:c>
      <x:c r="E38" s="46" t="n">
        <x:f>IF(E37&gt;0,E36/E37,0)</x:f>
        <x:v>0.32</x:v>
      </x:c>
      <x:c r="F38" s="46" t="n">
        <x:f>IF(F37&gt;0,F36/F37,0)</x:f>
        <x:v>0.4</x:v>
      </x:c>
      <x:c r="G38" s="46" t="n">
        <x:f>IF(G37&gt;0,G36/G37,0)</x:f>
        <x:v>0.44</x:v>
      </x:c>
      <x:c r="H38" s="46" t="n">
        <x:f>IF(H37&gt;0,H36/H37,0)</x:f>
        <x:v>0.44</x:v>
      </x:c>
      <x:c r="I38" s="46" t="n">
        <x:f>IF(I37&gt;0,I36/I37,0)</x:f>
        <x:v>0.48</x:v>
      </x:c>
      <x:c r="J38" s="46" t="n">
        <x:f>IF(J37&gt;0,J36/J37,0)</x:f>
        <x:v>0.48</x:v>
      </x:c>
      <x:c r="K38" s="46" t="n">
        <x:f>IF(K37&gt;0,K36/K37,0)</x:f>
        <x:v>0.52</x:v>
      </x:c>
      <x:c r="L38" s="46" t="n">
        <x:f>IF(L37&gt;0,L36/L37,0)</x:f>
        <x:v>0.52</x:v>
      </x:c>
      <x:c r="M38" s="46" t="n">
        <x:f>IF(M37&gt;0,M36/M37,0)</x:f>
        <x:v>0.52</x:v>
      </x:c>
      <x:c r="N38" s="46" t="n">
        <x:f>IF(N37&gt;0,N36/N37,0)</x:f>
        <x:v>0.52</x:v>
      </x:c>
      <x:c r="O38" s="46" t="n">
        <x:f>IF(O37&gt;0,O36/O37,0)</x:f>
        <x:v>0.56</x:v>
      </x:c>
    </x:row>
    <x:row r="39" ht="20" customHeight="1">
      <x:c r="A39" s="4" t="str">
        <x:v>Net realised unit price</x:v>
      </x:c>
      <x:c r="B39" s="4"/>
      <x:c r="C39" s="4"/>
      <x:c r="D39" s="41" t="n">
        <x:f>$B$9*$B$26</x:f>
        <x:v>70000</x:v>
      </x:c>
      <x:c r="E39" s="41" t="n">
        <x:f>$B$9*$B$26</x:f>
        <x:v>70000</x:v>
      </x:c>
      <x:c r="F39" s="41" t="n">
        <x:f>$B$9*$B$26</x:f>
        <x:v>70000</x:v>
      </x:c>
      <x:c r="G39" s="41" t="n">
        <x:f>$B$9*$B$26</x:f>
        <x:v>70000</x:v>
      </x:c>
      <x:c r="H39" s="41" t="n">
        <x:f>$B$9*$B$26</x:f>
        <x:v>70000</x:v>
      </x:c>
      <x:c r="I39" s="41" t="n">
        <x:f>$B$9*$B$26</x:f>
        <x:v>70000</x:v>
      </x:c>
      <x:c r="J39" s="41" t="n">
        <x:f>$B$9*$B$26</x:f>
        <x:v>70000</x:v>
      </x:c>
      <x:c r="K39" s="41" t="n">
        <x:f>$B$9*$B$26</x:f>
        <x:v>70000</x:v>
      </x:c>
      <x:c r="L39" s="41" t="n">
        <x:f>$B$9*$B$26</x:f>
        <x:v>70000</x:v>
      </x:c>
      <x:c r="M39" s="41" t="n">
        <x:f>$B$9*$B$26</x:f>
        <x:v>70000</x:v>
      </x:c>
      <x:c r="N39" s="41" t="n">
        <x:f>$B$9*$B$26</x:f>
        <x:v>70000</x:v>
      </x:c>
      <x:c r="O39" s="41" t="n">
        <x:f>$B$9*$B$26</x:f>
        <x:v>70000</x:v>
      </x:c>
    </x:row>
    <x:row r="40" ht="20" customHeight="1">
      <x:c r="A40" s="60" t="str">
        <x:v>Revenue, excluding GST</x:v>
      </x:c>
      <x:c r="B40" s="60"/>
      <x:c r="C40" s="60"/>
      <x:c r="D40" s="61" t="n">
        <x:f>D36*D39</x:f>
        <x:v>420000</x:v>
      </x:c>
      <x:c r="E40" s="61" t="n">
        <x:f>E36*E39</x:f>
        <x:v>560000</x:v>
      </x:c>
      <x:c r="F40" s="61" t="n">
        <x:f>F36*F39</x:f>
        <x:v>700000</x:v>
      </x:c>
      <x:c r="G40" s="61" t="n">
        <x:f>G36*G39</x:f>
        <x:v>770000</x:v>
      </x:c>
      <x:c r="H40" s="61" t="n">
        <x:f>H36*H39</x:f>
        <x:v>770000</x:v>
      </x:c>
      <x:c r="I40" s="61" t="n">
        <x:f>I36*I39</x:f>
        <x:v>840000</x:v>
      </x:c>
      <x:c r="J40" s="61" t="n">
        <x:f>J36*J39</x:f>
        <x:v>840000</x:v>
      </x:c>
      <x:c r="K40" s="61" t="n">
        <x:f>K36*K39</x:f>
        <x:v>910000</x:v>
      </x:c>
      <x:c r="L40" s="61" t="n">
        <x:f>L36*L39</x:f>
        <x:v>910000</x:v>
      </x:c>
      <x:c r="M40" s="61" t="n">
        <x:f>M36*M39</x:f>
        <x:v>910000</x:v>
      </x:c>
      <x:c r="N40" s="61" t="n">
        <x:f>N36*N39</x:f>
        <x:v>910000</x:v>
      </x:c>
      <x:c r="O40" s="61" t="n">
        <x:f>O36*O39</x:f>
        <x:v>980000</x:v>
      </x:c>
    </x:row>
    <x:row r="41" ht="20" customHeight="1">
      <x:c r="A41" s="4" t="str">
        <x:v>Variable cash cost</x:v>
      </x:c>
      <x:c r="B41" s="4"/>
      <x:c r="C41" s="4"/>
      <x:c r="D41" s="41" t="n">
        <x:f>D36*$B$10*$B$27</x:f>
        <x:v>300000</x:v>
      </x:c>
      <x:c r="E41" s="41" t="n">
        <x:f>E36*$B$10*$B$27</x:f>
        <x:v>400000</x:v>
      </x:c>
      <x:c r="F41" s="41" t="n">
        <x:f>F36*$B$10*$B$27</x:f>
        <x:v>500000</x:v>
      </x:c>
      <x:c r="G41" s="41" t="n">
        <x:f>G36*$B$10*$B$27</x:f>
        <x:v>550000</x:v>
      </x:c>
      <x:c r="H41" s="41" t="n">
        <x:f>H36*$B$10*$B$27</x:f>
        <x:v>550000</x:v>
      </x:c>
      <x:c r="I41" s="41" t="n">
        <x:f>I36*$B$10*$B$27</x:f>
        <x:v>600000</x:v>
      </x:c>
      <x:c r="J41" s="41" t="n">
        <x:f>J36*$B$10*$B$27</x:f>
        <x:v>600000</x:v>
      </x:c>
      <x:c r="K41" s="41" t="n">
        <x:f>K36*$B$10*$B$27</x:f>
        <x:v>650000</x:v>
      </x:c>
      <x:c r="L41" s="41" t="n">
        <x:f>L36*$B$10*$B$27</x:f>
        <x:v>650000</x:v>
      </x:c>
      <x:c r="M41" s="41" t="n">
        <x:f>M36*$B$10*$B$27</x:f>
        <x:v>650000</x:v>
      </x:c>
      <x:c r="N41" s="41" t="n">
        <x:f>N36*$B$10*$B$27</x:f>
        <x:v>650000</x:v>
      </x:c>
      <x:c r="O41" s="41" t="n">
        <x:f>O36*$B$10*$B$27</x:f>
        <x:v>700000</x:v>
      </x:c>
    </x:row>
    <x:row r="42" ht="20" customHeight="1">
      <x:c r="A42" s="4" t="str">
        <x:v>Contribution</x:v>
      </x:c>
      <x:c r="B42" s="4"/>
      <x:c r="C42" s="4"/>
      <x:c r="D42" s="41" t="n">
        <x:f>D40-D41</x:f>
        <x:v>120000</x:v>
      </x:c>
      <x:c r="E42" s="41" t="n">
        <x:f>E40-E41</x:f>
        <x:v>160000</x:v>
      </x:c>
      <x:c r="F42" s="41" t="n">
        <x:f>F40-F41</x:f>
        <x:v>200000</x:v>
      </x:c>
      <x:c r="G42" s="41" t="n">
        <x:f>G40-G41</x:f>
        <x:v>220000</x:v>
      </x:c>
      <x:c r="H42" s="41" t="n">
        <x:f>H40-H41</x:f>
        <x:v>220000</x:v>
      </x:c>
      <x:c r="I42" s="41" t="n">
        <x:f>I40-I41</x:f>
        <x:v>240000</x:v>
      </x:c>
      <x:c r="J42" s="41" t="n">
        <x:f>J40-J41</x:f>
        <x:v>240000</x:v>
      </x:c>
      <x:c r="K42" s="41" t="n">
        <x:f>K40-K41</x:f>
        <x:v>260000</x:v>
      </x:c>
      <x:c r="L42" s="41" t="n">
        <x:f>L40-L41</x:f>
        <x:v>260000</x:v>
      </x:c>
      <x:c r="M42" s="41" t="n">
        <x:f>M40-M41</x:f>
        <x:v>260000</x:v>
      </x:c>
      <x:c r="N42" s="41" t="n">
        <x:f>N40-N41</x:f>
        <x:v>260000</x:v>
      </x:c>
      <x:c r="O42" s="41" t="n">
        <x:f>O40-O41</x:f>
        <x:v>280000</x:v>
      </x:c>
    </x:row>
    <x:row r="43" ht="20" customHeight="1">
      <x:c r="A43" s="4" t="str">
        <x:v>Fixed cash cost</x:v>
      </x:c>
      <x:c r="B43" s="4"/>
      <x:c r="C43" s="4"/>
      <x:c r="D43" s="41" t="n">
        <x:f>$B$11*$B$28</x:f>
        <x:v>140000</x:v>
      </x:c>
      <x:c r="E43" s="41" t="n">
        <x:f>$B$11*$B$28</x:f>
        <x:v>140000</x:v>
      </x:c>
      <x:c r="F43" s="41" t="n">
        <x:f>$B$11*$B$28</x:f>
        <x:v>140000</x:v>
      </x:c>
      <x:c r="G43" s="41" t="n">
        <x:f>$B$11*$B$28</x:f>
        <x:v>140000</x:v>
      </x:c>
      <x:c r="H43" s="41" t="n">
        <x:f>$B$11*$B$28</x:f>
        <x:v>140000</x:v>
      </x:c>
      <x:c r="I43" s="41" t="n">
        <x:f>$B$11*$B$28</x:f>
        <x:v>140000</x:v>
      </x:c>
      <x:c r="J43" s="41" t="n">
        <x:f>$B$11*$B$28</x:f>
        <x:v>140000</x:v>
      </x:c>
      <x:c r="K43" s="41" t="n">
        <x:f>$B$11*$B$28</x:f>
        <x:v>140000</x:v>
      </x:c>
      <x:c r="L43" s="41" t="n">
        <x:f>$B$11*$B$28</x:f>
        <x:v>140000</x:v>
      </x:c>
      <x:c r="M43" s="41" t="n">
        <x:f>$B$11*$B$28</x:f>
        <x:v>140000</x:v>
      </x:c>
      <x:c r="N43" s="41" t="n">
        <x:f>$B$11*$B$28</x:f>
        <x:v>140000</x:v>
      </x:c>
      <x:c r="O43" s="41" t="n">
        <x:f>$B$11*$B$28</x:f>
        <x:v>140000</x:v>
      </x:c>
    </x:row>
    <x:row r="44" ht="20" customHeight="1">
      <x:c r="A44" s="60" t="str">
        <x:v>Operating cash profit (EBITDA)</x:v>
      </x:c>
      <x:c r="B44" s="60"/>
      <x:c r="C44" s="60"/>
      <x:c r="D44" s="61" t="n">
        <x:f>D42-D43</x:f>
        <x:v>-20000</x:v>
      </x:c>
      <x:c r="E44" s="61" t="n">
        <x:f>E42-E43</x:f>
        <x:v>20000</x:v>
      </x:c>
      <x:c r="F44" s="61" t="n">
        <x:f>F42-F43</x:f>
        <x:v>60000</x:v>
      </x:c>
      <x:c r="G44" s="61" t="n">
        <x:f>G42-G43</x:f>
        <x:v>80000</x:v>
      </x:c>
      <x:c r="H44" s="61" t="n">
        <x:f>H42-H43</x:f>
        <x:v>80000</x:v>
      </x:c>
      <x:c r="I44" s="61" t="n">
        <x:f>I42-I43</x:f>
        <x:v>100000</x:v>
      </x:c>
      <x:c r="J44" s="61" t="n">
        <x:f>J42-J43</x:f>
        <x:v>100000</x:v>
      </x:c>
      <x:c r="K44" s="61" t="n">
        <x:f>K42-K43</x:f>
        <x:v>120000</x:v>
      </x:c>
      <x:c r="L44" s="61" t="n">
        <x:f>L42-L43</x:f>
        <x:v>120000</x:v>
      </x:c>
      <x:c r="M44" s="61" t="n">
        <x:f>M42-M43</x:f>
        <x:v>120000</x:v>
      </x:c>
      <x:c r="N44" s="61" t="n">
        <x:f>N42-N43</x:f>
        <x:v>120000</x:v>
      </x:c>
      <x:c r="O44" s="61" t="n">
        <x:f>O42-O43</x:f>
        <x:v>140000</x:v>
      </x:c>
    </x:row>
    <x:row r="45" ht="20" customHeight="1">
      <x:c r="A45" s="4" t="str">
        <x:v>Illustrative depreciation</x:v>
      </x:c>
      <x:c r="B45" s="4"/>
      <x:c r="C45" s="4"/>
      <x:c r="D45" s="41" t="n">
        <x:f>IF($B$22&gt;0,$B$15/$B$22/12,0)</x:f>
        <x:v>10416.666666666666</x:v>
      </x:c>
      <x:c r="E45" s="41" t="n">
        <x:f>IF($B$22&gt;0,$B$15/$B$22/12,0)</x:f>
        <x:v>10416.666666666666</x:v>
      </x:c>
      <x:c r="F45" s="41" t="n">
        <x:f>IF($B$22&gt;0,$B$15/$B$22/12,0)</x:f>
        <x:v>10416.666666666666</x:v>
      </x:c>
      <x:c r="G45" s="41" t="n">
        <x:f>IF($B$22&gt;0,$B$15/$B$22/12,0)</x:f>
        <x:v>10416.666666666666</x:v>
      </x:c>
      <x:c r="H45" s="41" t="n">
        <x:f>IF($B$22&gt;0,$B$15/$B$22/12,0)</x:f>
        <x:v>10416.666666666666</x:v>
      </x:c>
      <x:c r="I45" s="41" t="n">
        <x:f>IF($B$22&gt;0,$B$15/$B$22/12,0)</x:f>
        <x:v>10416.666666666666</x:v>
      </x:c>
      <x:c r="J45" s="41" t="n">
        <x:f>IF($B$22&gt;0,$B$15/$B$22/12,0)</x:f>
        <x:v>10416.666666666666</x:v>
      </x:c>
      <x:c r="K45" s="41" t="n">
        <x:f>IF($B$22&gt;0,$B$15/$B$22/12,0)</x:f>
        <x:v>10416.666666666666</x:v>
      </x:c>
      <x:c r="L45" s="41" t="n">
        <x:f>IF($B$22&gt;0,$B$15/$B$22/12,0)</x:f>
        <x:v>10416.666666666666</x:v>
      </x:c>
      <x:c r="M45" s="41" t="n">
        <x:f>IF($B$22&gt;0,$B$15/$B$22/12,0)</x:f>
        <x:v>10416.666666666666</x:v>
      </x:c>
      <x:c r="N45" s="41" t="n">
        <x:f>IF($B$22&gt;0,$B$15/$B$22/12,0)</x:f>
        <x:v>10416.666666666666</x:v>
      </x:c>
      <x:c r="O45" s="41" t="n">
        <x:f>IF($B$22&gt;0,$B$15/$B$22/12,0)</x:f>
        <x:v>10416.666666666666</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-30416.666666666664</x:v>
      </x:c>
      <x:c r="E50" s="61" t="n">
        <x:f>E44-E45-E47</x:f>
        <x:v>9583.333333333334</x:v>
      </x:c>
      <x:c r="F50" s="61" t="n">
        <x:f>F44-F45-F47</x:f>
        <x:v>49583.333333333336</x:v>
      </x:c>
      <x:c r="G50" s="61" t="n">
        <x:f>G44-G45-G47</x:f>
        <x:v>69583.33333333333</x:v>
      </x:c>
      <x:c r="H50" s="61" t="n">
        <x:f>H44-H45-H47</x:f>
        <x:v>69583.33333333333</x:v>
      </x:c>
      <x:c r="I50" s="61" t="n">
        <x:f>I44-I45-I47</x:f>
        <x:v>89583.33333333333</x:v>
      </x:c>
      <x:c r="J50" s="61" t="n">
        <x:f>J44-J45-J47</x:f>
        <x:v>89583.33333333333</x:v>
      </x:c>
      <x:c r="K50" s="61" t="n">
        <x:f>K44-K45-K47</x:f>
        <x:v>109583.33333333333</x:v>
      </x:c>
      <x:c r="L50" s="61" t="n">
        <x:f>L44-L45-L47</x:f>
        <x:v>109583.33333333333</x:v>
      </x:c>
      <x:c r="M50" s="61" t="n">
        <x:f>M44-M45-M47</x:f>
        <x:v>109583.33333333333</x:v>
      </x:c>
      <x:c r="N50" s="61" t="n">
        <x:f>N44-N45-N47</x:f>
        <x:v>109583.33333333333</x:v>
      </x:c>
      <x:c r="O50" s="61" t="n">
        <x:f>O44-O45-O47</x:f>
        <x:v>129583.33333333333</x:v>
      </x:c>
    </x:row>
    <x:row r="51" ht="20" customHeight="1">
      <x:c r="A51" s="4" t="str">
        <x:v>Customer cash receipts</x:v>
      </x:c>
      <x:c r="B51" s="4"/>
      <x:c r="C51" s="4"/>
      <x:c r="D51" s="41" t="n">
        <x:f>IF($B$19&lt;30,D40*(1-$B$19/30)+0*$B$19/30,IF($B$19&lt;60,0*(2-$B$19/30)+0*($B$19/30-1),IF($B$19&lt;=90,0*(3-$B$19/30)+0*($B$19/30-2),0)))</x:f>
        <x:v>0</x:v>
      </x:c>
      <x:c r="E51" s="41" t="n">
        <x:f>IF($B$19&lt;30,E40*(1-$B$19/30)+D40*$B$19/30,IF($B$19&lt;60,D40*(2-$B$19/30)+0*($B$19/30-1),IF($B$19&lt;=90,0*(3-$B$19/30)+0*($B$19/30-2),0)))</x:f>
        <x:v>210000</x:v>
      </x:c>
      <x:c r="F51" s="41" t="n">
        <x:f>IF($B$19&lt;30,F40*(1-$B$19/30)+E40*$B$19/30,IF($B$19&lt;60,E40*(2-$B$19/30)+D40*($B$19/30-1),IF($B$19&lt;=90,D40*(3-$B$19/30)+0*($B$19/30-2),0)))</x:f>
        <x:v>490000</x:v>
      </x:c>
      <x:c r="G51" s="41" t="n">
        <x:f>IF($B$19&lt;30,G40*(1-$B$19/30)+F40*$B$19/30,IF($B$19&lt;60,F40*(2-$B$19/30)+E40*($B$19/30-1),IF($B$19&lt;=90,E40*(3-$B$19/30)+D40*($B$19/30-2),0)))</x:f>
        <x:v>630000</x:v>
      </x:c>
      <x:c r="H51" s="41" t="n">
        <x:f>IF($B$19&lt;30,H40*(1-$B$19/30)+G40*$B$19/30,IF($B$19&lt;60,G40*(2-$B$19/30)+F40*($B$19/30-1),IF($B$19&lt;=90,F40*(3-$B$19/30)+E40*($B$19/30-2),0)))</x:f>
        <x:v>735000</x:v>
      </x:c>
      <x:c r="I51" s="41" t="n">
        <x:f>IF($B$19&lt;30,I40*(1-$B$19/30)+H40*$B$19/30,IF($B$19&lt;60,H40*(2-$B$19/30)+G40*($B$19/30-1),IF($B$19&lt;=90,G40*(3-$B$19/30)+F40*($B$19/30-2),0)))</x:f>
        <x:v>770000</x:v>
      </x:c>
      <x:c r="J51" s="41" t="n">
        <x:f>IF($B$19&lt;30,J40*(1-$B$19/30)+I40*$B$19/30,IF($B$19&lt;60,I40*(2-$B$19/30)+H40*($B$19/30-1),IF($B$19&lt;=90,H40*(3-$B$19/30)+G40*($B$19/30-2),0)))</x:f>
        <x:v>805000</x:v>
      </x:c>
      <x:c r="K51" s="41" t="n">
        <x:f>IF($B$19&lt;30,K40*(1-$B$19/30)+J40*$B$19/30,IF($B$19&lt;60,J40*(2-$B$19/30)+I40*($B$19/30-1),IF($B$19&lt;=90,I40*(3-$B$19/30)+H40*($B$19/30-2),0)))</x:f>
        <x:v>840000</x:v>
      </x:c>
      <x:c r="L51" s="41" t="n">
        <x:f>IF($B$19&lt;30,L40*(1-$B$19/30)+K40*$B$19/30,IF($B$19&lt;60,K40*(2-$B$19/30)+J40*($B$19/30-1),IF($B$19&lt;=90,J40*(3-$B$19/30)+I40*($B$19/30-2),0)))</x:f>
        <x:v>875000</x:v>
      </x:c>
      <x:c r="M51" s="41" t="n">
        <x:f>IF($B$19&lt;30,M40*(1-$B$19/30)+L40*$B$19/30,IF($B$19&lt;60,L40*(2-$B$19/30)+K40*($B$19/30-1),IF($B$19&lt;=90,K40*(3-$B$19/30)+J40*($B$19/30-2),0)))</x:f>
        <x:v>910000</x:v>
      </x:c>
      <x:c r="N51" s="41" t="n">
        <x:f>IF($B$19&lt;30,N40*(1-$B$19/30)+M40*$B$19/30,IF($B$19&lt;60,M40*(2-$B$19/30)+L40*($B$19/30-1),IF($B$19&lt;=90,L40*(3-$B$19/30)+K40*($B$19/30-2),0)))</x:f>
        <x:v>910000</x:v>
      </x:c>
      <x:c r="O51" s="41" t="n">
        <x:f>IF($B$19&lt;30,O40*(1-$B$19/30)+N40*$B$19/30,IF($B$19&lt;60,N40*(2-$B$19/30)+M40*($B$19/30-1),IF($B$19&lt;=90,M40*(3-$B$19/30)+L40*($B$19/30-2),0)))</x:f>
        <x:v>910000</x:v>
      </x:c>
    </x:row>
    <x:row r="52" ht="20" customHeight="1">
      <x:c r="A52" s="4" t="str">
        <x:v>Closing receivables</x:v>
      </x:c>
      <x:c r="B52" s="4"/>
      <x:c r="C52" s="4"/>
      <x:c r="D52" s="41" t="n">
        <x:f>0+D40-D51</x:f>
        <x:v>420000</x:v>
      </x:c>
      <x:c r="E52" s="41" t="n">
        <x:f>D52+E40-E51</x:f>
        <x:v>770000</x:v>
      </x:c>
      <x:c r="F52" s="41" t="n">
        <x:f>E52+F40-F51</x:f>
        <x:v>980000</x:v>
      </x:c>
      <x:c r="G52" s="41" t="n">
        <x:f>F52+G40-G51</x:f>
        <x:v>1120000</x:v>
      </x:c>
      <x:c r="H52" s="41" t="n">
        <x:f>G52+H40-H51</x:f>
        <x:v>1155000</x:v>
      </x:c>
      <x:c r="I52" s="41" t="n">
        <x:f>H52+I40-I51</x:f>
        <x:v>1225000</x:v>
      </x:c>
      <x:c r="J52" s="41" t="n">
        <x:f>I52+J40-J51</x:f>
        <x:v>1260000</x:v>
      </x:c>
      <x:c r="K52" s="41" t="n">
        <x:f>J52+K40-K51</x:f>
        <x:v>1330000</x:v>
      </x:c>
      <x:c r="L52" s="41" t="n">
        <x:f>K52+L40-L51</x:f>
        <x:v>1365000</x:v>
      </x:c>
      <x:c r="M52" s="41" t="n">
        <x:f>L52+M40-M51</x:f>
        <x:v>1365000</x:v>
      </x:c>
      <x:c r="N52" s="41" t="n">
        <x:f>M52+N40-N51</x:f>
        <x:v>1365000</x:v>
      </x:c>
      <x:c r="O52" s="41" t="n">
        <x:f>N52+O40-O51</x:f>
        <x:v>1435000</x:v>
      </x:c>
    </x:row>
    <x:row r="53" ht="20" customHeight="1">
      <x:c r="A53" s="4" t="str">
        <x:v>Closing inventory target</x:v>
      </x:c>
      <x:c r="B53" s="4"/>
      <x:c r="C53" s="4"/>
      <x:c r="D53" s="41" t="n">
        <x:f>D41*$B$13*$B$20/30</x:f>
        <x:v>8400</x:v>
      </x:c>
      <x:c r="E53" s="41" t="n">
        <x:f>E41*$B$13*$B$20/30</x:f>
        <x:v>11200</x:v>
      </x:c>
      <x:c r="F53" s="41" t="n">
        <x:f>F41*$B$13*$B$20/30</x:f>
        <x:v>14000</x:v>
      </x:c>
      <x:c r="G53" s="41" t="n">
        <x:f>G41*$B$13*$B$20/30</x:f>
        <x:v>15400</x:v>
      </x:c>
      <x:c r="H53" s="41" t="n">
        <x:f>H41*$B$13*$B$20/30</x:f>
        <x:v>15400</x:v>
      </x:c>
      <x:c r="I53" s="41" t="n">
        <x:f>I41*$B$13*$B$20/30</x:f>
        <x:v>16800</x:v>
      </x:c>
      <x:c r="J53" s="41" t="n">
        <x:f>J41*$B$13*$B$20/30</x:f>
        <x:v>16800</x:v>
      </x:c>
      <x:c r="K53" s="41" t="n">
        <x:f>K41*$B$13*$B$20/30</x:f>
        <x:v>18200</x:v>
      </x:c>
      <x:c r="L53" s="41" t="n">
        <x:f>L41*$B$13*$B$20/30</x:f>
        <x:v>18200</x:v>
      </x:c>
      <x:c r="M53" s="41" t="n">
        <x:f>M41*$B$13*$B$20/30</x:f>
        <x:v>18200</x:v>
      </x:c>
      <x:c r="N53" s="41" t="n">
        <x:f>N41*$B$13*$B$20/30</x:f>
        <x:v>18200</x:v>
      </x:c>
      <x:c r="O53" s="41" t="n">
        <x:f>O41*$B$13*$B$20/30</x:f>
        <x:v>19600</x:v>
      </x:c>
    </x:row>
    <x:row r="54" ht="20" customHeight="1">
      <x:c r="A54" s="4" t="str">
        <x:v>Change in inventory</x:v>
      </x:c>
      <x:c r="B54" s="4"/>
      <x:c r="C54" s="4"/>
      <x:c r="D54" s="41" t="n">
        <x:f>D53-0</x:f>
        <x:v>8400</x:v>
      </x:c>
      <x:c r="E54" s="41" t="n">
        <x:f>E53-D53</x:f>
        <x:v>2800</x:v>
      </x:c>
      <x:c r="F54" s="41" t="n">
        <x:f>F53-E53</x:f>
        <x:v>2800</x:v>
      </x:c>
      <x:c r="G54" s="41" t="n">
        <x:f>G53-F53</x:f>
        <x:v>1400</x:v>
      </x:c>
      <x:c r="H54" s="41" t="n">
        <x:f>H53-G53</x:f>
        <x:v>0</x:v>
      </x:c>
      <x:c r="I54" s="41" t="n">
        <x:f>I53-H53</x:f>
        <x:v>1400</x:v>
      </x:c>
      <x:c r="J54" s="41" t="n">
        <x:f>J53-I53</x:f>
        <x:v>0</x:v>
      </x:c>
      <x:c r="K54" s="41" t="n">
        <x:f>K53-J53</x:f>
        <x:v>1400</x:v>
      </x:c>
      <x:c r="L54" s="41" t="n">
        <x:f>L53-K53</x:f>
        <x:v>0</x:v>
      </x:c>
      <x:c r="M54" s="41" t="n">
        <x:f>M53-L53</x:f>
        <x:v>0</x:v>
      </x:c>
      <x:c r="N54" s="41" t="n">
        <x:f>N53-M53</x:f>
        <x:v>0</x:v>
      </x:c>
      <x:c r="O54" s="41" t="n">
        <x:f>O53-N53</x:f>
        <x:v>1400</x:v>
      </x:c>
    </x:row>
    <x:row r="55" ht="20" customHeight="1">
      <x:c r="A55" s="4" t="str">
        <x:v>Purchases / variable cash obligation</x:v>
      </x:c>
      <x:c r="B55" s="4"/>
      <x:c r="C55" s="4"/>
      <x:c r="D55" s="41" t="n">
        <x:f>D41+D54</x:f>
        <x:v>308400</x:v>
      </x:c>
      <x:c r="E55" s="41" t="n">
        <x:f>E41+E54</x:f>
        <x:v>402800</x:v>
      </x:c>
      <x:c r="F55" s="41" t="n">
        <x:f>F41+F54</x:f>
        <x:v>502800</x:v>
      </x:c>
      <x:c r="G55" s="41" t="n">
        <x:f>G41+G54</x:f>
        <x:v>551400</x:v>
      </x:c>
      <x:c r="H55" s="41" t="n">
        <x:f>H41+H54</x:f>
        <x:v>550000</x:v>
      </x:c>
      <x:c r="I55" s="41" t="n">
        <x:f>I41+I54</x:f>
        <x:v>601400</x:v>
      </x:c>
      <x:c r="J55" s="41" t="n">
        <x:f>J41+J54</x:f>
        <x:v>600000</x:v>
      </x:c>
      <x:c r="K55" s="41" t="n">
        <x:f>K41+K54</x:f>
        <x:v>651400</x:v>
      </x:c>
      <x:c r="L55" s="41" t="n">
        <x:f>L41+L54</x:f>
        <x:v>650000</x:v>
      </x:c>
      <x:c r="M55" s="41" t="n">
        <x:f>M41+M54</x:f>
        <x:v>650000</x:v>
      </x:c>
      <x:c r="N55" s="41" t="n">
        <x:f>N41+N54</x:f>
        <x:v>650000</x:v>
      </x:c>
      <x:c r="O55" s="41" t="n">
        <x:f>O41+O54</x:f>
        <x:v>701400</x:v>
      </x:c>
    </x:row>
    <x:row r="56" ht="20" customHeight="1">
      <x:c r="A56" s="4" t="str">
        <x:v>Credit-eligible purchases</x:v>
      </x:c>
      <x:c r="B56" s="4"/>
      <x:c r="C56" s="4"/>
      <x:c r="D56" s="41" t="n">
        <x:f>D55*$B$14</x:f>
        <x:v>46260</x:v>
      </x:c>
      <x:c r="E56" s="41" t="n">
        <x:f>E55*$B$14</x:f>
        <x:v>60420</x:v>
      </x:c>
      <x:c r="F56" s="41" t="n">
        <x:f>F55*$B$14</x:f>
        <x:v>75420</x:v>
      </x:c>
      <x:c r="G56" s="41" t="n">
        <x:f>G55*$B$14</x:f>
        <x:v>82710</x:v>
      </x:c>
      <x:c r="H56" s="41" t="n">
        <x:f>H55*$B$14</x:f>
        <x:v>82500</x:v>
      </x:c>
      <x:c r="I56" s="41" t="n">
        <x:f>I55*$B$14</x:f>
        <x:v>90210</x:v>
      </x:c>
      <x:c r="J56" s="41" t="n">
        <x:f>J55*$B$14</x:f>
        <x:v>90000</x:v>
      </x:c>
      <x:c r="K56" s="41" t="n">
        <x:f>K55*$B$14</x:f>
        <x:v>97710</x:v>
      </x:c>
      <x:c r="L56" s="41" t="n">
        <x:f>L55*$B$14</x:f>
        <x:v>97500</x:v>
      </x:c>
      <x:c r="M56" s="41" t="n">
        <x:f>M55*$B$14</x:f>
        <x:v>97500</x:v>
      </x:c>
      <x:c r="N56" s="41" t="n">
        <x:f>N55*$B$14</x:f>
        <x:v>97500</x:v>
      </x:c>
      <x:c r="O56" s="41" t="n">
        <x:f>O55*$B$14</x:f>
        <x:v>105210</x:v>
      </x:c>
    </x:row>
    <x:row r="57" ht="20" customHeight="1">
      <x:c r="A57" s="4" t="str">
        <x:v>Cash paid for variable costs</x:v>
      </x:c>
      <x:c r="B57" s="4"/>
      <x:c r="C57" s="4"/>
      <x:c r="D57" s="41" t="n">
        <x:f>D55-D56+IF($B$21&lt;30,D56*(1-$B$21/30)+0*$B$21/30,IF($B$21&lt;60,0*(2-$B$21/30)+0*($B$21/30-1),IF($B$21&lt;=90,0*(3-$B$21/30)+0*($B$21/30-2),0)))</x:f>
        <x:v>285270</x:v>
      </x:c>
      <x:c r="E57" s="41" t="n">
        <x:f>E55-E56+IF($B$21&lt;30,E56*(1-$B$21/30)+D56*$B$21/30,IF($B$21&lt;60,D56*(2-$B$21/30)+0*($B$21/30-1),IF($B$21&lt;=90,0*(3-$B$21/30)+0*($B$21/30-2),0)))</x:f>
        <x:v>395720</x:v>
      </x:c>
      <x:c r="F57" s="41" t="n">
        <x:f>F55-F56+IF($B$21&lt;30,F56*(1-$B$21/30)+E56*$B$21/30,IF($B$21&lt;60,E56*(2-$B$21/30)+D56*($B$21/30-1),IF($B$21&lt;=90,D56*(3-$B$21/30)+0*($B$21/30-2),0)))</x:f>
        <x:v>495300</x:v>
      </x:c>
      <x:c r="G57" s="41" t="n">
        <x:f>G55-G56+IF($B$21&lt;30,G56*(1-$B$21/30)+F56*$B$21/30,IF($B$21&lt;60,F56*(2-$B$21/30)+E56*($B$21/30-1),IF($B$21&lt;=90,E56*(3-$B$21/30)+D56*($B$21/30-2),0)))</x:f>
        <x:v>547755</x:v>
      </x:c>
      <x:c r="H57" s="41" t="n">
        <x:f>H55-H56+IF($B$21&lt;30,H56*(1-$B$21/30)+G56*$B$21/30,IF($B$21&lt;60,G56*(2-$B$21/30)+F56*($B$21/30-1),IF($B$21&lt;=90,F56*(3-$B$21/30)+E56*($B$21/30-2),0)))</x:f>
        <x:v>550105</x:v>
      </x:c>
      <x:c r="I57" s="41" t="n">
        <x:f>I55-I56+IF($B$21&lt;30,I56*(1-$B$21/30)+H56*$B$21/30,IF($B$21&lt;60,H56*(2-$B$21/30)+G56*($B$21/30-1),IF($B$21&lt;=90,G56*(3-$B$21/30)+F56*($B$21/30-2),0)))</x:f>
        <x:v>597545</x:v>
      </x:c>
      <x:c r="J57" s="41" t="n">
        <x:f>J55-J56+IF($B$21&lt;30,J56*(1-$B$21/30)+I56*$B$21/30,IF($B$21&lt;60,I56*(2-$B$21/30)+H56*($B$21/30-1),IF($B$21&lt;=90,H56*(3-$B$21/30)+G56*($B$21/30-2),0)))</x:f>
        <x:v>600105</x:v>
      </x:c>
      <x:c r="K57" s="41" t="n">
        <x:f>K55-K56+IF($B$21&lt;30,K56*(1-$B$21/30)+J56*$B$21/30,IF($B$21&lt;60,J56*(2-$B$21/30)+I56*($B$21/30-1),IF($B$21&lt;=90,I56*(3-$B$21/30)+H56*($B$21/30-2),0)))</x:f>
        <x:v>647545</x:v>
      </x:c>
      <x:c r="L57" s="41" t="n">
        <x:f>L55-L56+IF($B$21&lt;30,L56*(1-$B$21/30)+K56*$B$21/30,IF($B$21&lt;60,K56*(2-$B$21/30)+J56*($B$21/30-1),IF($B$21&lt;=90,J56*(3-$B$21/30)+I56*($B$21/30-2),0)))</x:f>
        <x:v>650105</x:v>
      </x:c>
      <x:c r="M57" s="41" t="n">
        <x:f>M55-M56+IF($B$21&lt;30,M56*(1-$B$21/30)+L56*$B$21/30,IF($B$21&lt;60,L56*(2-$B$21/30)+K56*($B$21/30-1),IF($B$21&lt;=90,K56*(3-$B$21/30)+J56*($B$21/30-2),0)))</x:f>
        <x:v>650000</x:v>
      </x:c>
      <x:c r="N57" s="41" t="n">
        <x:f>N55-N56+IF($B$21&lt;30,N56*(1-$B$21/30)+M56*$B$21/30,IF($B$21&lt;60,M56*(2-$B$21/30)+L56*($B$21/30-1),IF($B$21&lt;=90,L56*(3-$B$21/30)+K56*($B$21/30-2),0)))</x:f>
        <x:v>650000</x:v>
      </x:c>
      <x:c r="O57" s="41" t="n">
        <x:f>O55-O56+IF($B$21&lt;30,O56*(1-$B$21/30)+N56*$B$21/30,IF($B$21&lt;60,N56*(2-$B$21/30)+M56*($B$21/30-1),IF($B$21&lt;=90,M56*(3-$B$21/30)+L56*($B$21/30-2),0)))</x:f>
        <x:v>697545</x:v>
      </x:c>
    </x:row>
    <x:row r="58" ht="20" customHeight="1">
      <x:c r="A58" s="4" t="str">
        <x:v>Closing trade payables</x:v>
      </x:c>
      <x:c r="B58" s="4"/>
      <x:c r="C58" s="4"/>
      <x:c r="D58" s="41" t="n">
        <x:f>0+D56-(IF($B$21&lt;30,D56*(1-$B$21/30)+0*$B$21/30,IF($B$21&lt;60,0*(2-$B$21/30)+0*($B$21/30-1),IF($B$21&lt;=90,0*(3-$B$21/30)+0*($B$21/30-2),0))))</x:f>
        <x:v>23130</x:v>
      </x:c>
      <x:c r="E58" s="41" t="n">
        <x:f>D58+E56-(IF($B$21&lt;30,E56*(1-$B$21/30)+D56*$B$21/30,IF($B$21&lt;60,D56*(2-$B$21/30)+0*($B$21/30-1),IF($B$21&lt;=90,0*(3-$B$21/30)+0*($B$21/30-2),0))))</x:f>
        <x:v>30210</x:v>
      </x:c>
      <x:c r="F58" s="41" t="n">
        <x:f>E58+F56-(IF($B$21&lt;30,F56*(1-$B$21/30)+E56*$B$21/30,IF($B$21&lt;60,E56*(2-$B$21/30)+D56*($B$21/30-1),IF($B$21&lt;=90,D56*(3-$B$21/30)+0*($B$21/30-2),0))))</x:f>
        <x:v>37710</x:v>
      </x:c>
      <x:c r="G58" s="41" t="n">
        <x:f>F58+G56-(IF($B$21&lt;30,G56*(1-$B$21/30)+F56*$B$21/30,IF($B$21&lt;60,F56*(2-$B$21/30)+E56*($B$21/30-1),IF($B$21&lt;=90,E56*(3-$B$21/30)+D56*($B$21/30-2),0))))</x:f>
        <x:v>41355</x:v>
      </x:c>
      <x:c r="H58" s="41" t="n">
        <x:f>G58+H56-(IF($B$21&lt;30,H56*(1-$B$21/30)+G56*$B$21/30,IF($B$21&lt;60,G56*(2-$B$21/30)+F56*($B$21/30-1),IF($B$21&lt;=90,F56*(3-$B$21/30)+E56*($B$21/30-2),0))))</x:f>
        <x:v>41250</x:v>
      </x:c>
      <x:c r="I58" s="41" t="n">
        <x:f>H58+I56-(IF($B$21&lt;30,I56*(1-$B$21/30)+H56*$B$21/30,IF($B$21&lt;60,H56*(2-$B$21/30)+G56*($B$21/30-1),IF($B$21&lt;=90,G56*(3-$B$21/30)+F56*($B$21/30-2),0))))</x:f>
        <x:v>45105</x:v>
      </x:c>
      <x:c r="J58" s="41" t="n">
        <x:f>I58+J56-(IF($B$21&lt;30,J56*(1-$B$21/30)+I56*$B$21/30,IF($B$21&lt;60,I56*(2-$B$21/30)+H56*($B$21/30-1),IF($B$21&lt;=90,H56*(3-$B$21/30)+G56*($B$21/30-2),0))))</x:f>
        <x:v>45000</x:v>
      </x:c>
      <x:c r="K58" s="41" t="n">
        <x:f>J58+K56-(IF($B$21&lt;30,K56*(1-$B$21/30)+J56*$B$21/30,IF($B$21&lt;60,J56*(2-$B$21/30)+I56*($B$21/30-1),IF($B$21&lt;=90,I56*(3-$B$21/30)+H56*($B$21/30-2),0))))</x:f>
        <x:v>48855</x:v>
      </x:c>
      <x:c r="L58" s="41" t="n">
        <x:f>K58+L56-(IF($B$21&lt;30,L56*(1-$B$21/30)+K56*$B$21/30,IF($B$21&lt;60,K56*(2-$B$21/30)+J56*($B$21/30-1),IF($B$21&lt;=90,J56*(3-$B$21/30)+I56*($B$21/30-2),0))))</x:f>
        <x:v>48750</x:v>
      </x:c>
      <x:c r="M58" s="41" t="n">
        <x:f>L58+M56-(IF($B$21&lt;30,M56*(1-$B$21/30)+L56*$B$21/30,IF($B$21&lt;60,L56*(2-$B$21/30)+K56*($B$21/30-1),IF($B$21&lt;=90,K56*(3-$B$21/30)+J56*($B$21/30-2),0))))</x:f>
        <x:v>48750</x:v>
      </x:c>
      <x:c r="N58" s="41" t="n">
        <x:f>M58+N56-(IF($B$21&lt;30,N56*(1-$B$21/30)+M56*$B$21/30,IF($B$21&lt;60,M56*(2-$B$21/30)+L56*($B$21/30-1),IF($B$21&lt;=90,L56*(3-$B$21/30)+K56*($B$21/30-2),0))))</x:f>
        <x:v>48750</x:v>
      </x:c>
      <x:c r="O58" s="41" t="n">
        <x:f>N58+O56-(IF($B$21&lt;30,O56*(1-$B$21/30)+N56*$B$21/30,IF($B$21&lt;60,N56*(2-$B$21/30)+M56*($B$21/30-1),IF($B$21&lt;=90,M56*(3-$B$21/30)+L56*($B$21/30-2),0))))</x:f>
        <x:v>52605</x:v>
      </x:c>
    </x:row>
    <x:row r="59" ht="20" customHeight="1">
      <x:c r="A59" s="60" t="str">
        <x:v>Operating cash before interest/tax</x:v>
      </x:c>
      <x:c r="B59" s="60"/>
      <x:c r="C59" s="60"/>
      <x:c r="D59" s="61" t="n">
        <x:f>D51-D57-D43</x:f>
        <x:v>-425270</x:v>
      </x:c>
      <x:c r="E59" s="61" t="n">
        <x:f>E51-E57-E43</x:f>
        <x:v>-325720</x:v>
      </x:c>
      <x:c r="F59" s="61" t="n">
        <x:f>F51-F57-F43</x:f>
        <x:v>-145300</x:v>
      </x:c>
      <x:c r="G59" s="61" t="n">
        <x:f>G51-G57-G43</x:f>
        <x:v>-57755</x:v>
      </x:c>
      <x:c r="H59" s="61" t="n">
        <x:f>H51-H57-H43</x:f>
        <x:v>44895</x:v>
      </x:c>
      <x:c r="I59" s="61" t="n">
        <x:f>I51-I57-I43</x:f>
        <x:v>32455</x:v>
      </x:c>
      <x:c r="J59" s="61" t="n">
        <x:f>J51-J57-J43</x:f>
        <x:v>64895</x:v>
      </x:c>
      <x:c r="K59" s="61" t="n">
        <x:f>K51-K57-K43</x:f>
        <x:v>52455</x:v>
      </x:c>
      <x:c r="L59" s="61" t="n">
        <x:f>L51-L57-L43</x:f>
        <x:v>84895</x:v>
      </x:c>
      <x:c r="M59" s="61" t="n">
        <x:f>M51-M57-M43</x:f>
        <x:v>120000</x:v>
      </x:c>
      <x:c r="N59" s="61" t="n">
        <x:f>N51-N57-N43</x:f>
        <x:v>120000</x:v>
      </x:c>
      <x:c r="O59" s="61" t="n">
        <x:f>O51-O57-O43</x:f>
        <x:v>72455</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-425270</x:v>
      </x:c>
      <x:c r="E62" s="61" t="n">
        <x:f>E59-E47-E48-E60-E61</x:f>
        <x:v>-325720</x:v>
      </x:c>
      <x:c r="F62" s="61" t="n">
        <x:f>F59-F47-F48-F60-F61</x:f>
        <x:v>-145300</x:v>
      </x:c>
      <x:c r="G62" s="61" t="n">
        <x:f>G59-G47-G48-G60-G61</x:f>
        <x:v>-57755</x:v>
      </x:c>
      <x:c r="H62" s="61" t="n">
        <x:f>H59-H47-H48-H60-H61</x:f>
        <x:v>44895</x:v>
      </x:c>
      <x:c r="I62" s="61" t="n">
        <x:f>I59-I47-I48-I60-I61</x:f>
        <x:v>32455</x:v>
      </x:c>
      <x:c r="J62" s="61" t="n">
        <x:f>J59-J47-J48-J60-J61</x:f>
        <x:v>64895</x:v>
      </x:c>
      <x:c r="K62" s="61" t="n">
        <x:f>K59-K47-K48-K60-K61</x:f>
        <x:v>52455</x:v>
      </x:c>
      <x:c r="L62" s="61" t="n">
        <x:f>L59-L47-L48-L60-L61</x:f>
        <x:v>84895</x:v>
      </x:c>
      <x:c r="M62" s="61" t="n">
        <x:f>M59-M47-M48-M60-M61</x:f>
        <x:v>120000</x:v>
      </x:c>
      <x:c r="N62" s="61" t="n">
        <x:f>N59-N47-N48-N60-N61</x:f>
        <x:v>120000</x:v>
      </x:c>
      <x:c r="O62" s="61" t="n">
        <x:f>O59-O47-O48-O60-O61</x:f>
        <x:v>72455</x:v>
      </x:c>
    </x:row>
    <x:row r="63" ht="20" customHeight="1">
      <x:c r="A63" s="4" t="str">
        <x:v>Opening cash</x:v>
      </x:c>
      <x:c r="B63" s="4"/>
      <x:c r="C63" s="4"/>
      <x:c r="D63" s="41" t="n">
        <x:f>$B$18</x:f>
        <x:v>1000000</x:v>
      </x:c>
      <x:c r="E63" s="41" t="n">
        <x:f>D64</x:f>
        <x:v>574730</x:v>
      </x:c>
      <x:c r="F63" s="41" t="n">
        <x:f>E64</x:f>
        <x:v>249010</x:v>
      </x:c>
      <x:c r="G63" s="41" t="n">
        <x:f>F64</x:f>
        <x:v>103710</x:v>
      </x:c>
      <x:c r="H63" s="41" t="n">
        <x:f>G64</x:f>
        <x:v>45955</x:v>
      </x:c>
      <x:c r="I63" s="41" t="n">
        <x:f>H64</x:f>
        <x:v>90850</x:v>
      </x:c>
      <x:c r="J63" s="41" t="n">
        <x:f>I64</x:f>
        <x:v>123305</x:v>
      </x:c>
      <x:c r="K63" s="41" t="n">
        <x:f>J64</x:f>
        <x:v>188200</x:v>
      </x:c>
      <x:c r="L63" s="41" t="n">
        <x:f>K64</x:f>
        <x:v>240655</x:v>
      </x:c>
      <x:c r="M63" s="41" t="n">
        <x:f>L64</x:f>
        <x:v>325550</x:v>
      </x:c>
      <x:c r="N63" s="41" t="n">
        <x:f>M64</x:f>
        <x:v>445550</x:v>
      </x:c>
      <x:c r="O63" s="41" t="n">
        <x:f>N64</x:f>
        <x:v>565550</x:v>
      </x:c>
    </x:row>
    <x:row r="64" ht="20" customHeight="1">
      <x:c r="A64" s="60" t="str">
        <x:v>Closing cash</x:v>
      </x:c>
      <x:c r="B64" s="60"/>
      <x:c r="C64" s="60"/>
      <x:c r="D64" s="61" t="n">
        <x:f>D63+D62</x:f>
        <x:v>574730</x:v>
      </x:c>
      <x:c r="E64" s="61" t="n">
        <x:f>E63+E62</x:f>
        <x:v>249010</x:v>
      </x:c>
      <x:c r="F64" s="61" t="n">
        <x:f>F63+F62</x:f>
        <x:v>103710</x:v>
      </x:c>
      <x:c r="G64" s="61" t="n">
        <x:f>G63+G62</x:f>
        <x:v>45955</x:v>
      </x:c>
      <x:c r="H64" s="61" t="n">
        <x:f>H63+H62</x:f>
        <x:v>90850</x:v>
      </x:c>
      <x:c r="I64" s="61" t="n">
        <x:f>I63+I62</x:f>
        <x:v>123305</x:v>
      </x:c>
      <x:c r="J64" s="61" t="n">
        <x:f>J63+J62</x:f>
        <x:v>188200</x:v>
      </x:c>
      <x:c r="K64" s="61" t="n">
        <x:f>K63+K62</x:f>
        <x:v>240655</x:v>
      </x:c>
      <x:c r="L64" s="61" t="n">
        <x:f>L63+L62</x:f>
        <x:v>325550</x:v>
      </x:c>
      <x:c r="M64" s="61" t="n">
        <x:f>M63+M62</x:f>
        <x:v>445550</x:v>
      </x:c>
      <x:c r="N64" s="61" t="n">
        <x:f>N63+N62</x:f>
        <x:v>565550</x:v>
      </x:c>
      <x:c r="O64" s="61" t="n">
        <x:f>O63+O62</x:f>
        <x:v>638005</x:v>
      </x:c>
    </x:row>
    <x:row r="65" ht="20" customHeight="1">
      <x:c r="A65" s="60" t="str">
        <x:v>Additional funding if closing cash &lt; 0</x:v>
      </x:c>
      <x:c r="B65" s="60"/>
      <x:c r="C65" s="60"/>
      <x:c r="D65" s="61" t="n">
        <x:f>MAX(0,-D64)</x:f>
        <x:v>0</x:v>
      </x:c>
      <x:c r="E65" s="61" t="n">
        <x:f>MAX(0,-E64)</x:f>
        <x:v>0</x:v>
      </x:c>
      <x:c r="F65" s="61" t="n">
        <x:f>MAX(0,-F64)</x:f>
        <x:v>0</x:v>
      </x:c>
      <x:c r="G65" s="61" t="n">
        <x:f>MAX(0,-G64)</x:f>
        <x:v>0</x:v>
      </x:c>
      <x:c r="H65" s="61" t="n">
        <x:f>MAX(0,-H64)</x:f>
        <x:v>0</x:v>
      </x:c>
      <x:c r="I65" s="61" t="n">
        <x:f>MAX(0,-I64)</x:f>
        <x:v>0</x:v>
      </x:c>
      <x:c r="J65" s="61" t="n">
        <x:f>MAX(0,-J64)</x:f>
        <x:v>0</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OK</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OK</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OK</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OK</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OK</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OK</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1720000</x:v>
      </x:c>
      <x:c r="C71" s="4"/>
      <x:c r="D71" s="2"/>
      <x:c r="E71" s="2"/>
      <x:c r="F71" s="2"/>
      <x:c r="G71" s="2"/>
      <x:c r="H71" s="2"/>
      <x:c r="I71" s="2"/>
      <x:c r="J71" s="2"/>
      <x:c r="K71" s="2"/>
      <x:c r="L71" s="2"/>
      <x:c r="M71" s="2"/>
      <x:c r="N71" s="2"/>
      <x:c r="O71" s="2"/>
    </x:row>
    <x:row r="72" ht="28" customHeight="1">
      <x:c r="A72" s="4" t="str">
        <x:v>Equity funding at startup</x:v>
      </x:c>
      <x:c r="B72" s="66" t="n">
        <x:f>MAX(0,SUM(B15:B18)-B23)</x:f>
        <x:v>1720000</x:v>
      </x:c>
      <x:c r="C72" s="4"/>
      <x:c r="D72" s="2"/>
      <x:c r="E72" s="2"/>
      <x:c r="F72" s="2"/>
      <x:c r="G72" s="2"/>
      <x:c r="H72" s="2"/>
      <x:c r="I72" s="2"/>
      <x:c r="J72" s="2"/>
      <x:c r="K72" s="2"/>
      <x:c r="L72" s="2"/>
      <x:c r="M72" s="2"/>
      <x:c r="N72" s="2"/>
      <x:c r="O72" s="2"/>
    </x:row>
    <x:row r="73" ht="28" customHeight="1">
      <x:c r="A73" s="4" t="str">
        <x:v>Steady monthly unit contribution</x:v>
      </x:c>
      <x:c r="B73" s="66" t="n">
        <x:f>B9*B26-B10*B27</x:f>
        <x:v>20000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7</x:v>
      </x:c>
      <x:c r="C74" s="4"/>
      <x:c r="D74" s="2"/>
      <x:c r="E74" s="2"/>
      <x:c r="F74" s="2"/>
      <x:c r="G74" s="2"/>
      <x:c r="H74" s="2"/>
      <x:c r="I74" s="2"/>
      <x:c r="J74" s="2"/>
      <x:c r="K74" s="2"/>
      <x:c r="L74" s="2"/>
      <x:c r="M74" s="2"/>
      <x:c r="N74" s="2"/>
      <x:c r="O74" s="2"/>
    </x:row>
    <x:row r="75" ht="28" customHeight="1">
      <x:c r="A75" s="4" t="str">
        <x:v>Year-one operating cash profit</x:v>
      </x:c>
      <x:c r="B75" s="66" t="n">
        <x:f>SUM(D44:O44)</x:f>
        <x:v>1040000</x:v>
      </x:c>
      <x:c r="C75" s="4"/>
      <x:c r="D75" s="2"/>
      <x:c r="E75" s="2"/>
      <x:c r="F75" s="2"/>
      <x:c r="G75" s="2"/>
      <x:c r="H75" s="2"/>
      <x:c r="I75" s="2"/>
      <x:c r="J75" s="2"/>
      <x:c r="K75" s="2"/>
      <x:c r="L75" s="2"/>
      <x:c r="M75" s="2"/>
      <x:c r="N75" s="2"/>
      <x:c r="O75" s="2"/>
    </x:row>
    <x:row r="76" ht="28" customHeight="1">
      <x:c r="A76" s="4" t="str">
        <x:v>Year-one minimum closing cash</x:v>
      </x:c>
      <x:c r="B76" s="66" t="n">
        <x:f>MIN(D64:O64)</x:f>
        <x:v>45955</x:v>
      </x:c>
      <x:c r="C76" s="4"/>
      <x:c r="D76" s="2"/>
      <x:c r="E76" s="2"/>
      <x:c r="F76" s="2"/>
      <x:c r="G76" s="2"/>
      <x:c r="H76" s="2"/>
      <x:c r="I76" s="2"/>
      <x:c r="J76" s="2"/>
      <x:c r="K76" s="2"/>
      <x:c r="L76" s="2"/>
      <x:c r="M76" s="2"/>
      <x:c r="N76" s="2"/>
      <x:c r="O76" s="2"/>
    </x:row>
    <x:row r="77" ht="28" customHeight="1">
      <x:c r="A77" s="4" t="str">
        <x:v>Additional opening liquidity needed</x:v>
      </x:c>
      <x:c r="B77" s="66" t="n">
        <x:f>MAX(0,-MIN(D64:O64))</x:f>
        <x:v>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ILLUSTRATIVE</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14" priority="1">
      <x:formula>D64&lt;0</x:formula>
    </x:cfRule>
  </x:conditionalFormatting>
  <x:conditionalFormatting sqref="D66:O66">
    <x:cfRule type="expression" dxfId="48" priority="2">
      <x:formula>D66&lt;&gt;"OK"</x:formula>
    </x:cfRule>
  </x:conditionalFormatting>
  <x:pageMargins left="0.7" right="0.7" top="0.75" bottom="0.75" header="0.3" footer="0.3"/>
  <x:drawing xmlns:r="http://schemas.openxmlformats.org/officeDocument/2006/relationships" r:id="R76f6c4ec7c2640ae"/>
  <x:legacyDrawing xmlns:r="http://schemas.openxmlformats.org/officeDocument/2006/relationships" r:id="Rb18ccaf8655e44c7"/>
</x:worksheet>
</file>

<file path=xl/worksheets/sheet13.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PCJ-27 | Medical Equipment Rental &amp; Home Mobility</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ILLUSTRATIVE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538800</x:v>
      </x:c>
      <x:c r="G7" s="2"/>
      <x:c r="H7" s="2"/>
      <x:c r="I7" s="2"/>
      <x:c r="J7" s="2"/>
      <x:c r="K7" s="2"/>
      <x:c r="L7" s="2"/>
      <x:c r="M7" s="2"/>
      <x:c r="N7" s="2"/>
      <x:c r="O7" s="2"/>
    </x:row>
    <x:row r="8" ht="38" customHeight="1">
      <x:c r="A8" s="90" t="str">
        <x:v>Base monthly units</x:v>
      </x:c>
      <x:c r="B8" s="106" t="n">
        <x:v>70</x:v>
      </x:c>
      <x:c r="C8" s="90" t="str">
        <x:v>Billable output, not leads or maximum capacity.</x:v>
      </x:c>
      <x:c r="D8" s="2"/>
      <x:c r="E8" s="2" t="n">
        <x:v>2</x:v>
      </x:c>
      <x:c r="F8" s="40" t="n">
        <x:f>E64</x:f>
        <x:v>491280</x:v>
      </x:c>
      <x:c r="G8" s="2"/>
      <x:c r="H8" s="2"/>
      <x:c r="I8" s="2"/>
      <x:c r="J8" s="2"/>
      <x:c r="K8" s="2"/>
      <x:c r="L8" s="2"/>
      <x:c r="M8" s="2"/>
      <x:c r="N8" s="2"/>
      <x:c r="O8" s="2"/>
    </x:row>
    <x:row r="9" ht="38" customHeight="1">
      <x:c r="A9" s="90" t="str">
        <x:v>Net realised price / unit (INR)</x:v>
      </x:c>
      <x:c r="B9" s="106" t="n">
        <x:v>6000</x:v>
      </x:c>
      <x:c r="C9" s="90" t="str">
        <x:v>Excludes GST; net of commercial reductions.</x:v>
      </x:c>
      <x:c r="D9" s="2"/>
      <x:c r="E9" s="2" t="n">
        <x:v>3</x:v>
      </x:c>
      <x:c r="F9" s="40" t="n">
        <x:f>F64</x:f>
        <x:v>490480</x:v>
      </x:c>
      <x:c r="G9" s="2"/>
      <x:c r="H9" s="2"/>
      <x:c r="I9" s="2"/>
      <x:c r="J9" s="2"/>
      <x:c r="K9" s="2"/>
      <x:c r="L9" s="2"/>
      <x:c r="M9" s="2"/>
      <x:c r="N9" s="2"/>
      <x:c r="O9" s="2"/>
    </x:row>
    <x:row r="10" ht="38" customHeight="1">
      <x:c r="A10" s="90" t="str">
        <x:v>Variable cash cost / unit (INR)</x:v>
      </x:c>
      <x:c r="B10" s="106" t="n">
        <x:v>1600</x:v>
      </x:c>
      <x:c r="C10" s="90" t="str">
        <x:v>Include expected direct rework/returns where relevant.</x:v>
      </x:c>
      <x:c r="D10" s="2"/>
      <x:c r="E10" s="2" t="n">
        <x:v>4</x:v>
      </x:c>
      <x:c r="F10" s="40" t="n">
        <x:f>G64</x:f>
        <x:v>528640</x:v>
      </x:c>
      <x:c r="G10" s="2"/>
      <x:c r="H10" s="2"/>
      <x:c r="I10" s="2"/>
      <x:c r="J10" s="2"/>
      <x:c r="K10" s="2"/>
      <x:c r="L10" s="2"/>
      <x:c r="M10" s="2"/>
      <x:c r="N10" s="2"/>
      <x:c r="O10" s="2"/>
    </x:row>
    <x:row r="11" ht="38" customHeight="1">
      <x:c r="A11" s="90" t="str">
        <x:v>Fixed monthly cash cost (INR)</x:v>
      </x:c>
      <x:c r="B11" s="106" t="n">
        <x:v>220000</x:v>
      </x:c>
      <x:c r="C11" s="90" t="str">
        <x:v>Include supervision and realistic owner-replacement cost.</x:v>
      </x:c>
      <x:c r="D11" s="2"/>
      <x:c r="E11" s="2" t="n">
        <x:v>5</x:v>
      </x:c>
      <x:c r="F11" s="40" t="n">
        <x:f>H64</x:f>
        <x:v>592560</x:v>
      </x:c>
      <x:c r="G11" s="2"/>
      <x:c r="H11" s="2"/>
      <x:c r="I11" s="2"/>
      <x:c r="J11" s="2"/>
      <x:c r="K11" s="2"/>
      <x:c r="L11" s="2"/>
      <x:c r="M11" s="2"/>
      <x:c r="N11" s="2"/>
      <x:c r="O11" s="2"/>
    </x:row>
    <x:row r="12" ht="38" customHeight="1">
      <x:c r="A12" s="90" t="str">
        <x:v>Safe / saleable monthly capacity</x:v>
      </x:c>
      <x:c r="B12" s="106" t="n">
        <x:v>120</x:v>
      </x:c>
      <x:c r="C12" s="90" t="str">
        <x:v>Planning input; does not certify safe technical capacity.</x:v>
      </x:c>
      <x:c r="D12" s="2"/>
      <x:c r="E12" s="2" t="n">
        <x:v>6</x:v>
      </x:c>
      <x:c r="F12" s="40" t="n">
        <x:f>I64</x:f>
        <x:v>672400</x:v>
      </x:c>
      <x:c r="G12" s="2"/>
      <x:c r="H12" s="2"/>
      <x:c r="I12" s="2"/>
      <x:c r="J12" s="2"/>
      <x:c r="K12" s="2"/>
      <x:c r="L12" s="2"/>
      <x:c r="M12" s="2"/>
      <x:c r="N12" s="2"/>
      <x:c r="O12" s="2"/>
    </x:row>
    <x:row r="13" ht="38" customHeight="1">
      <x:c r="A13" s="90" t="str">
        <x:v>Inventory-eligible share of variable cost</x:v>
      </x:c>
      <x:c r="B13" s="107" t="n">
        <x:v>0</x:v>
      </x:c>
      <x:c r="C13" s="90" t="str">
        <x:v>Only this share drives modelled inventory.</x:v>
      </x:c>
      <x:c r="D13" s="2"/>
      <x:c r="E13" s="2" t="n">
        <x:v>7</x:v>
      </x:c>
      <x:c r="F13" s="40" t="n">
        <x:f>J64</x:f>
        <x:v>760400</x:v>
      </x:c>
      <x:c r="G13" s="2"/>
      <x:c r="H13" s="2"/>
      <x:c r="I13" s="2"/>
      <x:c r="J13" s="2"/>
      <x:c r="K13" s="2"/>
      <x:c r="L13" s="2"/>
      <x:c r="M13" s="2"/>
      <x:c r="N13" s="2"/>
      <x:c r="O13" s="2"/>
    </x:row>
    <x:row r="14" ht="38" customHeight="1">
      <x:c r="A14" s="90" t="str">
        <x:v>Supplier-credit share of purchases</x:v>
      </x:c>
      <x:c r="B14" s="107" t="n">
        <x:v>0.35</x:v>
      </x:c>
      <x:c r="C14" s="90" t="str">
        <x:v>Other costs are paid currently; do not defer payroll unlawfully.</x:v>
      </x:c>
      <x:c r="D14" s="2"/>
      <x:c r="E14" s="2" t="n">
        <x:v>8</x:v>
      </x:c>
      <x:c r="F14" s="40" t="n">
        <x:f>K64</x:f>
        <x:v>855120</x:v>
      </x:c>
      <x:c r="G14" s="2"/>
      <x:c r="H14" s="2"/>
      <x:c r="I14" s="2"/>
      <x:c r="J14" s="2"/>
      <x:c r="K14" s="2"/>
      <x:c r="L14" s="2"/>
      <x:c r="M14" s="2"/>
      <x:c r="N14" s="2"/>
      <x:c r="O14" s="2"/>
    </x:row>
    <x:row r="15" ht="38" customHeight="1">
      <x:c r="A15" s="90" t="str">
        <x:v>Initial installed assets (INR)</x:v>
      </x:c>
      <x:c r="B15" s="106" t="n">
        <x:v>1800000</x:v>
      </x:c>
      <x:c r="C15" s="90" t="str">
        <x:v>Initial capex; further capex has a separate monthly row.</x:v>
      </x:c>
      <x:c r="D15" s="2"/>
      <x:c r="E15" s="2" t="n">
        <x:v>9</x:v>
      </x:c>
      <x:c r="F15" s="40" t="n">
        <x:f>L64</x:f>
        <x:v>960720</x:v>
      </x:c>
      <x:c r="G15" s="2"/>
      <x:c r="H15" s="2"/>
      <x:c r="I15" s="2"/>
      <x:c r="J15" s="2"/>
      <x:c r="K15" s="2"/>
      <x:c r="L15" s="2"/>
      <x:c r="M15" s="2"/>
      <x:c r="N15" s="2"/>
      <x:c r="O15" s="2"/>
    </x:row>
    <x:row r="16" ht="38" customHeight="1">
      <x:c r="A16" s="90" t="str">
        <x:v>Refundable startup deposits (INR)</x:v>
      </x:c>
      <x:c r="B16" s="106" t="n">
        <x:v>120000</x:v>
      </x:c>
      <x:c r="C16" s="90" t="str">
        <x:v>Cash funding, not immediate operating expense.</x:v>
      </x:c>
      <x:c r="D16" s="2"/>
      <x:c r="E16" s="2" t="n">
        <x:v>10</x:v>
      </x:c>
      <x:c r="F16" s="40" t="n">
        <x:f>M64</x:f>
        <x:v>1071360</x:v>
      </x:c>
      <x:c r="G16" s="2"/>
      <x:c r="H16" s="2"/>
      <x:c r="I16" s="2"/>
      <x:c r="J16" s="2"/>
      <x:c r="K16" s="2"/>
      <x:c r="L16" s="2"/>
      <x:c r="M16" s="2"/>
      <x:c r="N16" s="2"/>
      <x:c r="O16" s="2"/>
    </x:row>
    <x:row r="17" ht="38" customHeight="1">
      <x:c r="A17" s="90" t="str">
        <x:v>Pre-opening expense (INR)</x:v>
      </x:c>
      <x:c r="B17" s="106" t="n">
        <x:v>160000</x:v>
      </x:c>
      <x:c r="C17" s="90" t="str">
        <x:v>Before month 1; excluded from forecast EBITDA.</x:v>
      </x:c>
      <x:c r="D17" s="2"/>
      <x:c r="E17" s="2" t="n">
        <x:v>11</x:v>
      </x:c>
      <x:c r="F17" s="40" t="n">
        <x:f>N64</x:f>
        <x:v>1190160</x:v>
      </x:c>
      <x:c r="G17" s="2"/>
      <x:c r="H17" s="2"/>
      <x:c r="I17" s="2"/>
      <x:c r="J17" s="2"/>
      <x:c r="K17" s="2"/>
      <x:c r="L17" s="2"/>
      <x:c r="M17" s="2"/>
      <x:c r="N17" s="2"/>
      <x:c r="O17" s="2"/>
    </x:row>
    <x:row r="18" ht="38" customHeight="1">
      <x:c r="A18" s="90" t="str">
        <x:v>Opening cash reserve (INR)</x:v>
      </x:c>
      <x:c r="B18" s="106" t="n">
        <x:v>700000</x:v>
      </x:c>
      <x:c r="C18" s="90" t="str">
        <x:v>May be insufficient: review minimum closing cash.</x:v>
      </x:c>
      <x:c r="D18" s="2"/>
      <x:c r="E18" s="2" t="n">
        <x:v>12</x:v>
      </x:c>
      <x:c r="F18" s="40" t="n">
        <x:f>O64</x:f>
        <x:v>1315680</x:v>
      </x:c>
      <x:c r="G18" s="2"/>
      <x:c r="H18" s="2"/>
      <x:c r="I18" s="2"/>
      <x:c r="J18" s="2"/>
      <x:c r="K18" s="2"/>
      <x:c r="L18" s="2"/>
      <x:c r="M18" s="2"/>
      <x:c r="N18" s="2"/>
      <x:c r="O18" s="2"/>
    </x:row>
    <x:row r="19" ht="38" customHeight="1">
      <x:c r="A19" s="90" t="str">
        <x:v>Collection lag (days; 0–90)</x:v>
      </x:c>
      <x:c r="B19" s="108" t="n">
        <x:v>15</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0</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15</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5</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paid asset-months.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35</x:v>
      </x:c>
      <x:c r="E36" s="41" t="n">
        <x:f>ROUND($B$8*E35*$B$25,0)</x:f>
        <x:v>46</x:v>
      </x:c>
      <x:c r="F36" s="41" t="n">
        <x:f>ROUND($B$8*F35*$B$25,0)</x:f>
        <x:v>56</x:v>
      </x:c>
      <x:c r="G36" s="41" t="n">
        <x:f>ROUND($B$8*G35*$B$25,0)</x:f>
        <x:v>63</x:v>
      </x:c>
      <x:c r="H36" s="41" t="n">
        <x:f>ROUND($B$8*H35*$B$25,0)</x:f>
        <x:v>67</x:v>
      </x:c>
      <x:c r="I36" s="41" t="n">
        <x:f>ROUND($B$8*I35*$B$25,0)</x:f>
        <x:v>70</x:v>
      </x:c>
      <x:c r="J36" s="41" t="n">
        <x:f>ROUND($B$8*J35*$B$25,0)</x:f>
        <x:v>70</x:v>
      </x:c>
      <x:c r="K36" s="41" t="n">
        <x:f>ROUND($B$8*K35*$B$25,0)</x:f>
        <x:v>74</x:v>
      </x:c>
      <x:c r="L36" s="41" t="n">
        <x:f>ROUND($B$8*L35*$B$25,0)</x:f>
        <x:v>74</x:v>
      </x:c>
      <x:c r="M36" s="41" t="n">
        <x:f>ROUND($B$8*M35*$B$25,0)</x:f>
        <x:v>77</x:v>
      </x:c>
      <x:c r="N36" s="41" t="n">
        <x:f>ROUND($B$8*N35*$B$25,0)</x:f>
        <x:v>77</x:v>
      </x:c>
      <x:c r="O36" s="41" t="n">
        <x:f>ROUND($B$8*O35*$B$25,0)</x:f>
        <x:v>81</x:v>
      </x:c>
    </x:row>
    <x:row r="37" ht="20" customHeight="1">
      <x:c r="A37" s="4" t="str">
        <x:v>Safe / saleable capacity</x:v>
      </x:c>
      <x:c r="B37" s="4"/>
      <x:c r="C37" s="4"/>
      <x:c r="D37" s="41" t="n">
        <x:f>$B$12</x:f>
        <x:v>120</x:v>
      </x:c>
      <x:c r="E37" s="41" t="n">
        <x:f>$B$12</x:f>
        <x:v>120</x:v>
      </x:c>
      <x:c r="F37" s="41" t="n">
        <x:f>$B$12</x:f>
        <x:v>120</x:v>
      </x:c>
      <x:c r="G37" s="41" t="n">
        <x:f>$B$12</x:f>
        <x:v>120</x:v>
      </x:c>
      <x:c r="H37" s="41" t="n">
        <x:f>$B$12</x:f>
        <x:v>120</x:v>
      </x:c>
      <x:c r="I37" s="41" t="n">
        <x:f>$B$12</x:f>
        <x:v>120</x:v>
      </x:c>
      <x:c r="J37" s="41" t="n">
        <x:f>$B$12</x:f>
        <x:v>120</x:v>
      </x:c>
      <x:c r="K37" s="41" t="n">
        <x:f>$B$12</x:f>
        <x:v>120</x:v>
      </x:c>
      <x:c r="L37" s="41" t="n">
        <x:f>$B$12</x:f>
        <x:v>120</x:v>
      </x:c>
      <x:c r="M37" s="41" t="n">
        <x:f>$B$12</x:f>
        <x:v>120</x:v>
      </x:c>
      <x:c r="N37" s="41" t="n">
        <x:f>$B$12</x:f>
        <x:v>120</x:v>
      </x:c>
      <x:c r="O37" s="41" t="n">
        <x:f>$B$12</x:f>
        <x:v>120</x:v>
      </x:c>
    </x:row>
    <x:row r="38" ht="20" customHeight="1">
      <x:c r="A38" s="4" t="str">
        <x:v>Capacity utilisation</x:v>
      </x:c>
      <x:c r="B38" s="4"/>
      <x:c r="C38" s="4"/>
      <x:c r="D38" s="46" t="n">
        <x:f>IF(D37&gt;0,D36/D37,0)</x:f>
        <x:v>0.2916666666666667</x:v>
      </x:c>
      <x:c r="E38" s="46" t="n">
        <x:f>IF(E37&gt;0,E36/E37,0)</x:f>
        <x:v>0.38333333333333336</x:v>
      </x:c>
      <x:c r="F38" s="46" t="n">
        <x:f>IF(F37&gt;0,F36/F37,0)</x:f>
        <x:v>0.4666666666666667</x:v>
      </x:c>
      <x:c r="G38" s="46" t="n">
        <x:f>IF(G37&gt;0,G36/G37,0)</x:f>
        <x:v>0.525</x:v>
      </x:c>
      <x:c r="H38" s="46" t="n">
        <x:f>IF(H37&gt;0,H36/H37,0)</x:f>
        <x:v>0.5583333333333333</x:v>
      </x:c>
      <x:c r="I38" s="46" t="n">
        <x:f>IF(I37&gt;0,I36/I37,0)</x:f>
        <x:v>0.5833333333333334</x:v>
      </x:c>
      <x:c r="J38" s="46" t="n">
        <x:f>IF(J37&gt;0,J36/J37,0)</x:f>
        <x:v>0.5833333333333334</x:v>
      </x:c>
      <x:c r="K38" s="46" t="n">
        <x:f>IF(K37&gt;0,K36/K37,0)</x:f>
        <x:v>0.6166666666666667</x:v>
      </x:c>
      <x:c r="L38" s="46" t="n">
        <x:f>IF(L37&gt;0,L36/L37,0)</x:f>
        <x:v>0.6166666666666667</x:v>
      </x:c>
      <x:c r="M38" s="46" t="n">
        <x:f>IF(M37&gt;0,M36/M37,0)</x:f>
        <x:v>0.6416666666666667</x:v>
      </x:c>
      <x:c r="N38" s="46" t="n">
        <x:f>IF(N37&gt;0,N36/N37,0)</x:f>
        <x:v>0.6416666666666667</x:v>
      </x:c>
      <x:c r="O38" s="46" t="n">
        <x:f>IF(O37&gt;0,O36/O37,0)</x:f>
        <x:v>0.675</x:v>
      </x:c>
    </x:row>
    <x:row r="39" ht="20" customHeight="1">
      <x:c r="A39" s="4" t="str">
        <x:v>Net realised unit price</x:v>
      </x:c>
      <x:c r="B39" s="4"/>
      <x:c r="C39" s="4"/>
      <x:c r="D39" s="41" t="n">
        <x:f>$B$9*$B$26</x:f>
        <x:v>6000</x:v>
      </x:c>
      <x:c r="E39" s="41" t="n">
        <x:f>$B$9*$B$26</x:f>
        <x:v>6000</x:v>
      </x:c>
      <x:c r="F39" s="41" t="n">
        <x:f>$B$9*$B$26</x:f>
        <x:v>6000</x:v>
      </x:c>
      <x:c r="G39" s="41" t="n">
        <x:f>$B$9*$B$26</x:f>
        <x:v>6000</x:v>
      </x:c>
      <x:c r="H39" s="41" t="n">
        <x:f>$B$9*$B$26</x:f>
        <x:v>6000</x:v>
      </x:c>
      <x:c r="I39" s="41" t="n">
        <x:f>$B$9*$B$26</x:f>
        <x:v>6000</x:v>
      </x:c>
      <x:c r="J39" s="41" t="n">
        <x:f>$B$9*$B$26</x:f>
        <x:v>6000</x:v>
      </x:c>
      <x:c r="K39" s="41" t="n">
        <x:f>$B$9*$B$26</x:f>
        <x:v>6000</x:v>
      </x:c>
      <x:c r="L39" s="41" t="n">
        <x:f>$B$9*$B$26</x:f>
        <x:v>6000</x:v>
      </x:c>
      <x:c r="M39" s="41" t="n">
        <x:f>$B$9*$B$26</x:f>
        <x:v>6000</x:v>
      </x:c>
      <x:c r="N39" s="41" t="n">
        <x:f>$B$9*$B$26</x:f>
        <x:v>6000</x:v>
      </x:c>
      <x:c r="O39" s="41" t="n">
        <x:f>$B$9*$B$26</x:f>
        <x:v>6000</x:v>
      </x:c>
    </x:row>
    <x:row r="40" ht="20" customHeight="1">
      <x:c r="A40" s="60" t="str">
        <x:v>Revenue, excluding GST</x:v>
      </x:c>
      <x:c r="B40" s="60"/>
      <x:c r="C40" s="60"/>
      <x:c r="D40" s="61" t="n">
        <x:f>D36*D39</x:f>
        <x:v>210000</x:v>
      </x:c>
      <x:c r="E40" s="61" t="n">
        <x:f>E36*E39</x:f>
        <x:v>276000</x:v>
      </x:c>
      <x:c r="F40" s="61" t="n">
        <x:f>F36*F39</x:f>
        <x:v>336000</x:v>
      </x:c>
      <x:c r="G40" s="61" t="n">
        <x:f>G36*G39</x:f>
        <x:v>378000</x:v>
      </x:c>
      <x:c r="H40" s="61" t="n">
        <x:f>H36*H39</x:f>
        <x:v>402000</x:v>
      </x:c>
      <x:c r="I40" s="61" t="n">
        <x:f>I36*I39</x:f>
        <x:v>420000</x:v>
      </x:c>
      <x:c r="J40" s="61" t="n">
        <x:f>J36*J39</x:f>
        <x:v>420000</x:v>
      </x:c>
      <x:c r="K40" s="61" t="n">
        <x:f>K36*K39</x:f>
        <x:v>444000</x:v>
      </x:c>
      <x:c r="L40" s="61" t="n">
        <x:f>L36*L39</x:f>
        <x:v>444000</x:v>
      </x:c>
      <x:c r="M40" s="61" t="n">
        <x:f>M36*M39</x:f>
        <x:v>462000</x:v>
      </x:c>
      <x:c r="N40" s="61" t="n">
        <x:f>N36*N39</x:f>
        <x:v>462000</x:v>
      </x:c>
      <x:c r="O40" s="61" t="n">
        <x:f>O36*O39</x:f>
        <x:v>486000</x:v>
      </x:c>
    </x:row>
    <x:row r="41" ht="20" customHeight="1">
      <x:c r="A41" s="4" t="str">
        <x:v>Variable cash cost</x:v>
      </x:c>
      <x:c r="B41" s="4"/>
      <x:c r="C41" s="4"/>
      <x:c r="D41" s="41" t="n">
        <x:f>D36*$B$10*$B$27</x:f>
        <x:v>56000</x:v>
      </x:c>
      <x:c r="E41" s="41" t="n">
        <x:f>E36*$B$10*$B$27</x:f>
        <x:v>73600</x:v>
      </x:c>
      <x:c r="F41" s="41" t="n">
        <x:f>F36*$B$10*$B$27</x:f>
        <x:v>89600</x:v>
      </x:c>
      <x:c r="G41" s="41" t="n">
        <x:f>G36*$B$10*$B$27</x:f>
        <x:v>100800</x:v>
      </x:c>
      <x:c r="H41" s="41" t="n">
        <x:f>H36*$B$10*$B$27</x:f>
        <x:v>107200</x:v>
      </x:c>
      <x:c r="I41" s="41" t="n">
        <x:f>I36*$B$10*$B$27</x:f>
        <x:v>112000</x:v>
      </x:c>
      <x:c r="J41" s="41" t="n">
        <x:f>J36*$B$10*$B$27</x:f>
        <x:v>112000</x:v>
      </x:c>
      <x:c r="K41" s="41" t="n">
        <x:f>K36*$B$10*$B$27</x:f>
        <x:v>118400</x:v>
      </x:c>
      <x:c r="L41" s="41" t="n">
        <x:f>L36*$B$10*$B$27</x:f>
        <x:v>118400</x:v>
      </x:c>
      <x:c r="M41" s="41" t="n">
        <x:f>M36*$B$10*$B$27</x:f>
        <x:v>123200</x:v>
      </x:c>
      <x:c r="N41" s="41" t="n">
        <x:f>N36*$B$10*$B$27</x:f>
        <x:v>123200</x:v>
      </x:c>
      <x:c r="O41" s="41" t="n">
        <x:f>O36*$B$10*$B$27</x:f>
        <x:v>129600</x:v>
      </x:c>
    </x:row>
    <x:row r="42" ht="20" customHeight="1">
      <x:c r="A42" s="4" t="str">
        <x:v>Contribution</x:v>
      </x:c>
      <x:c r="B42" s="4"/>
      <x:c r="C42" s="4"/>
      <x:c r="D42" s="41" t="n">
        <x:f>D40-D41</x:f>
        <x:v>154000</x:v>
      </x:c>
      <x:c r="E42" s="41" t="n">
        <x:f>E40-E41</x:f>
        <x:v>202400</x:v>
      </x:c>
      <x:c r="F42" s="41" t="n">
        <x:f>F40-F41</x:f>
        <x:v>246400</x:v>
      </x:c>
      <x:c r="G42" s="41" t="n">
        <x:f>G40-G41</x:f>
        <x:v>277200</x:v>
      </x:c>
      <x:c r="H42" s="41" t="n">
        <x:f>H40-H41</x:f>
        <x:v>294800</x:v>
      </x:c>
      <x:c r="I42" s="41" t="n">
        <x:f>I40-I41</x:f>
        <x:v>308000</x:v>
      </x:c>
      <x:c r="J42" s="41" t="n">
        <x:f>J40-J41</x:f>
        <x:v>308000</x:v>
      </x:c>
      <x:c r="K42" s="41" t="n">
        <x:f>K40-K41</x:f>
        <x:v>325600</x:v>
      </x:c>
      <x:c r="L42" s="41" t="n">
        <x:f>L40-L41</x:f>
        <x:v>325600</x:v>
      </x:c>
      <x:c r="M42" s="41" t="n">
        <x:f>M40-M41</x:f>
        <x:v>338800</x:v>
      </x:c>
      <x:c r="N42" s="41" t="n">
        <x:f>N40-N41</x:f>
        <x:v>338800</x:v>
      </x:c>
      <x:c r="O42" s="41" t="n">
        <x:f>O40-O41</x:f>
        <x:v>356400</x:v>
      </x:c>
    </x:row>
    <x:row r="43" ht="20" customHeight="1">
      <x:c r="A43" s="4" t="str">
        <x:v>Fixed cash cost</x:v>
      </x:c>
      <x:c r="B43" s="4"/>
      <x:c r="C43" s="4"/>
      <x:c r="D43" s="41" t="n">
        <x:f>$B$11*$B$28</x:f>
        <x:v>220000</x:v>
      </x:c>
      <x:c r="E43" s="41" t="n">
        <x:f>$B$11*$B$28</x:f>
        <x:v>220000</x:v>
      </x:c>
      <x:c r="F43" s="41" t="n">
        <x:f>$B$11*$B$28</x:f>
        <x:v>220000</x:v>
      </x:c>
      <x:c r="G43" s="41" t="n">
        <x:f>$B$11*$B$28</x:f>
        <x:v>220000</x:v>
      </x:c>
      <x:c r="H43" s="41" t="n">
        <x:f>$B$11*$B$28</x:f>
        <x:v>220000</x:v>
      </x:c>
      <x:c r="I43" s="41" t="n">
        <x:f>$B$11*$B$28</x:f>
        <x:v>220000</x:v>
      </x:c>
      <x:c r="J43" s="41" t="n">
        <x:f>$B$11*$B$28</x:f>
        <x:v>220000</x:v>
      </x:c>
      <x:c r="K43" s="41" t="n">
        <x:f>$B$11*$B$28</x:f>
        <x:v>220000</x:v>
      </x:c>
      <x:c r="L43" s="41" t="n">
        <x:f>$B$11*$B$28</x:f>
        <x:v>220000</x:v>
      </x:c>
      <x:c r="M43" s="41" t="n">
        <x:f>$B$11*$B$28</x:f>
        <x:v>220000</x:v>
      </x:c>
      <x:c r="N43" s="41" t="n">
        <x:f>$B$11*$B$28</x:f>
        <x:v>220000</x:v>
      </x:c>
      <x:c r="O43" s="41" t="n">
        <x:f>$B$11*$B$28</x:f>
        <x:v>220000</x:v>
      </x:c>
    </x:row>
    <x:row r="44" ht="20" customHeight="1">
      <x:c r="A44" s="60" t="str">
        <x:v>Operating cash profit (EBITDA)</x:v>
      </x:c>
      <x:c r="B44" s="60"/>
      <x:c r="C44" s="60"/>
      <x:c r="D44" s="61" t="n">
        <x:f>D42-D43</x:f>
        <x:v>-66000</x:v>
      </x:c>
      <x:c r="E44" s="61" t="n">
        <x:f>E42-E43</x:f>
        <x:v>-17600</x:v>
      </x:c>
      <x:c r="F44" s="61" t="n">
        <x:f>F42-F43</x:f>
        <x:v>26400</x:v>
      </x:c>
      <x:c r="G44" s="61" t="n">
        <x:f>G42-G43</x:f>
        <x:v>57200</x:v>
      </x:c>
      <x:c r="H44" s="61" t="n">
        <x:f>H42-H43</x:f>
        <x:v>74800</x:v>
      </x:c>
      <x:c r="I44" s="61" t="n">
        <x:f>I42-I43</x:f>
        <x:v>88000</x:v>
      </x:c>
      <x:c r="J44" s="61" t="n">
        <x:f>J42-J43</x:f>
        <x:v>88000</x:v>
      </x:c>
      <x:c r="K44" s="61" t="n">
        <x:f>K42-K43</x:f>
        <x:v>105600</x:v>
      </x:c>
      <x:c r="L44" s="61" t="n">
        <x:f>L42-L43</x:f>
        <x:v>105600</x:v>
      </x:c>
      <x:c r="M44" s="61" t="n">
        <x:f>M42-M43</x:f>
        <x:v>118800</x:v>
      </x:c>
      <x:c r="N44" s="61" t="n">
        <x:f>N42-N43</x:f>
        <x:v>118800</x:v>
      </x:c>
      <x:c r="O44" s="61" t="n">
        <x:f>O42-O43</x:f>
        <x:v>136400</x:v>
      </x:c>
    </x:row>
    <x:row r="45" ht="20" customHeight="1">
      <x:c r="A45" s="4" t="str">
        <x:v>Illustrative depreciation</x:v>
      </x:c>
      <x:c r="B45" s="4"/>
      <x:c r="C45" s="4"/>
      <x:c r="D45" s="41" t="n">
        <x:f>IF($B$22&gt;0,$B$15/$B$22/12,0)</x:f>
        <x:v>30000</x:v>
      </x:c>
      <x:c r="E45" s="41" t="n">
        <x:f>IF($B$22&gt;0,$B$15/$B$22/12,0)</x:f>
        <x:v>30000</x:v>
      </x:c>
      <x:c r="F45" s="41" t="n">
        <x:f>IF($B$22&gt;0,$B$15/$B$22/12,0)</x:f>
        <x:v>30000</x:v>
      </x:c>
      <x:c r="G45" s="41" t="n">
        <x:f>IF($B$22&gt;0,$B$15/$B$22/12,0)</x:f>
        <x:v>30000</x:v>
      </x:c>
      <x:c r="H45" s="41" t="n">
        <x:f>IF($B$22&gt;0,$B$15/$B$22/12,0)</x:f>
        <x:v>30000</x:v>
      </x:c>
      <x:c r="I45" s="41" t="n">
        <x:f>IF($B$22&gt;0,$B$15/$B$22/12,0)</x:f>
        <x:v>30000</x:v>
      </x:c>
      <x:c r="J45" s="41" t="n">
        <x:f>IF($B$22&gt;0,$B$15/$B$22/12,0)</x:f>
        <x:v>30000</x:v>
      </x:c>
      <x:c r="K45" s="41" t="n">
        <x:f>IF($B$22&gt;0,$B$15/$B$22/12,0)</x:f>
        <x:v>30000</x:v>
      </x:c>
      <x:c r="L45" s="41" t="n">
        <x:f>IF($B$22&gt;0,$B$15/$B$22/12,0)</x:f>
        <x:v>30000</x:v>
      </x:c>
      <x:c r="M45" s="41" t="n">
        <x:f>IF($B$22&gt;0,$B$15/$B$22/12,0)</x:f>
        <x:v>30000</x:v>
      </x:c>
      <x:c r="N45" s="41" t="n">
        <x:f>IF($B$22&gt;0,$B$15/$B$22/12,0)</x:f>
        <x:v>30000</x:v>
      </x:c>
      <x:c r="O45" s="41" t="n">
        <x:f>IF($B$22&gt;0,$B$15/$B$22/12,0)</x:f>
        <x:v>30000</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-96000</x:v>
      </x:c>
      <x:c r="E50" s="61" t="n">
        <x:f>E44-E45-E47</x:f>
        <x:v>-47600</x:v>
      </x:c>
      <x:c r="F50" s="61" t="n">
        <x:f>F44-F45-F47</x:f>
        <x:v>-3600</x:v>
      </x:c>
      <x:c r="G50" s="61" t="n">
        <x:f>G44-G45-G47</x:f>
        <x:v>27200</x:v>
      </x:c>
      <x:c r="H50" s="61" t="n">
        <x:f>H44-H45-H47</x:f>
        <x:v>44800</x:v>
      </x:c>
      <x:c r="I50" s="61" t="n">
        <x:f>I44-I45-I47</x:f>
        <x:v>58000</x:v>
      </x:c>
      <x:c r="J50" s="61" t="n">
        <x:f>J44-J45-J47</x:f>
        <x:v>58000</x:v>
      </x:c>
      <x:c r="K50" s="61" t="n">
        <x:f>K44-K45-K47</x:f>
        <x:v>75600</x:v>
      </x:c>
      <x:c r="L50" s="61" t="n">
        <x:f>L44-L45-L47</x:f>
        <x:v>75600</x:v>
      </x:c>
      <x:c r="M50" s="61" t="n">
        <x:f>M44-M45-M47</x:f>
        <x:v>88800</x:v>
      </x:c>
      <x:c r="N50" s="61" t="n">
        <x:f>N44-N45-N47</x:f>
        <x:v>88800</x:v>
      </x:c>
      <x:c r="O50" s="61" t="n">
        <x:f>O44-O45-O47</x:f>
        <x:v>106400</x:v>
      </x:c>
    </x:row>
    <x:row r="51" ht="20" customHeight="1">
      <x:c r="A51" s="4" t="str">
        <x:v>Customer cash receipts</x:v>
      </x:c>
      <x:c r="B51" s="4"/>
      <x:c r="C51" s="4"/>
      <x:c r="D51" s="41" t="n">
        <x:f>IF($B$19&lt;30,D40*(1-$B$19/30)+0*$B$19/30,IF($B$19&lt;60,0*(2-$B$19/30)+0*($B$19/30-1),IF($B$19&lt;=90,0*(3-$B$19/30)+0*($B$19/30-2),0)))</x:f>
        <x:v>105000</x:v>
      </x:c>
      <x:c r="E51" s="41" t="n">
        <x:f>IF($B$19&lt;30,E40*(1-$B$19/30)+D40*$B$19/30,IF($B$19&lt;60,D40*(2-$B$19/30)+0*($B$19/30-1),IF($B$19&lt;=90,0*(3-$B$19/30)+0*($B$19/30-2),0)))</x:f>
        <x:v>243000</x:v>
      </x:c>
      <x:c r="F51" s="41" t="n">
        <x:f>IF($B$19&lt;30,F40*(1-$B$19/30)+E40*$B$19/30,IF($B$19&lt;60,E40*(2-$B$19/30)+D40*($B$19/30-1),IF($B$19&lt;=90,D40*(3-$B$19/30)+0*($B$19/30-2),0)))</x:f>
        <x:v>306000</x:v>
      </x:c>
      <x:c r="G51" s="41" t="n">
        <x:f>IF($B$19&lt;30,G40*(1-$B$19/30)+F40*$B$19/30,IF($B$19&lt;60,F40*(2-$B$19/30)+E40*($B$19/30-1),IF($B$19&lt;=90,E40*(3-$B$19/30)+D40*($B$19/30-2),0)))</x:f>
        <x:v>357000</x:v>
      </x:c>
      <x:c r="H51" s="41" t="n">
        <x:f>IF($B$19&lt;30,H40*(1-$B$19/30)+G40*$B$19/30,IF($B$19&lt;60,G40*(2-$B$19/30)+F40*($B$19/30-1),IF($B$19&lt;=90,F40*(3-$B$19/30)+E40*($B$19/30-2),0)))</x:f>
        <x:v>390000</x:v>
      </x:c>
      <x:c r="I51" s="41" t="n">
        <x:f>IF($B$19&lt;30,I40*(1-$B$19/30)+H40*$B$19/30,IF($B$19&lt;60,H40*(2-$B$19/30)+G40*($B$19/30-1),IF($B$19&lt;=90,G40*(3-$B$19/30)+F40*($B$19/30-2),0)))</x:f>
        <x:v>411000</x:v>
      </x:c>
      <x:c r="J51" s="41" t="n">
        <x:f>IF($B$19&lt;30,J40*(1-$B$19/30)+I40*$B$19/30,IF($B$19&lt;60,I40*(2-$B$19/30)+H40*($B$19/30-1),IF($B$19&lt;=90,H40*(3-$B$19/30)+G40*($B$19/30-2),0)))</x:f>
        <x:v>420000</x:v>
      </x:c>
      <x:c r="K51" s="41" t="n">
        <x:f>IF($B$19&lt;30,K40*(1-$B$19/30)+J40*$B$19/30,IF($B$19&lt;60,J40*(2-$B$19/30)+I40*($B$19/30-1),IF($B$19&lt;=90,I40*(3-$B$19/30)+H40*($B$19/30-2),0)))</x:f>
        <x:v>432000</x:v>
      </x:c>
      <x:c r="L51" s="41" t="n">
        <x:f>IF($B$19&lt;30,L40*(1-$B$19/30)+K40*$B$19/30,IF($B$19&lt;60,K40*(2-$B$19/30)+J40*($B$19/30-1),IF($B$19&lt;=90,J40*(3-$B$19/30)+I40*($B$19/30-2),0)))</x:f>
        <x:v>444000</x:v>
      </x:c>
      <x:c r="M51" s="41" t="n">
        <x:f>IF($B$19&lt;30,M40*(1-$B$19/30)+L40*$B$19/30,IF($B$19&lt;60,L40*(2-$B$19/30)+K40*($B$19/30-1),IF($B$19&lt;=90,K40*(3-$B$19/30)+J40*($B$19/30-2),0)))</x:f>
        <x:v>453000</x:v>
      </x:c>
      <x:c r="N51" s="41" t="n">
        <x:f>IF($B$19&lt;30,N40*(1-$B$19/30)+M40*$B$19/30,IF($B$19&lt;60,M40*(2-$B$19/30)+L40*($B$19/30-1),IF($B$19&lt;=90,L40*(3-$B$19/30)+K40*($B$19/30-2),0)))</x:f>
        <x:v>462000</x:v>
      </x:c>
      <x:c r="O51" s="41" t="n">
        <x:f>IF($B$19&lt;30,O40*(1-$B$19/30)+N40*$B$19/30,IF($B$19&lt;60,N40*(2-$B$19/30)+M40*($B$19/30-1),IF($B$19&lt;=90,M40*(3-$B$19/30)+L40*($B$19/30-2),0)))</x:f>
        <x:v>474000</x:v>
      </x:c>
    </x:row>
    <x:row r="52" ht="20" customHeight="1">
      <x:c r="A52" s="4" t="str">
        <x:v>Closing receivables</x:v>
      </x:c>
      <x:c r="B52" s="4"/>
      <x:c r="C52" s="4"/>
      <x:c r="D52" s="41" t="n">
        <x:f>0+D40-D51</x:f>
        <x:v>105000</x:v>
      </x:c>
      <x:c r="E52" s="41" t="n">
        <x:f>D52+E40-E51</x:f>
        <x:v>138000</x:v>
      </x:c>
      <x:c r="F52" s="41" t="n">
        <x:f>E52+F40-F51</x:f>
        <x:v>168000</x:v>
      </x:c>
      <x:c r="G52" s="41" t="n">
        <x:f>F52+G40-G51</x:f>
        <x:v>189000</x:v>
      </x:c>
      <x:c r="H52" s="41" t="n">
        <x:f>G52+H40-H51</x:f>
        <x:v>201000</x:v>
      </x:c>
      <x:c r="I52" s="41" t="n">
        <x:f>H52+I40-I51</x:f>
        <x:v>210000</x:v>
      </x:c>
      <x:c r="J52" s="41" t="n">
        <x:f>I52+J40-J51</x:f>
        <x:v>210000</x:v>
      </x:c>
      <x:c r="K52" s="41" t="n">
        <x:f>J52+K40-K51</x:f>
        <x:v>222000</x:v>
      </x:c>
      <x:c r="L52" s="41" t="n">
        <x:f>K52+L40-L51</x:f>
        <x:v>222000</x:v>
      </x:c>
      <x:c r="M52" s="41" t="n">
        <x:f>L52+M40-M51</x:f>
        <x:v>231000</x:v>
      </x:c>
      <x:c r="N52" s="41" t="n">
        <x:f>M52+N40-N51</x:f>
        <x:v>231000</x:v>
      </x:c>
      <x:c r="O52" s="41" t="n">
        <x:f>N52+O40-O51</x:f>
        <x:v>243000</x:v>
      </x:c>
    </x:row>
    <x:row r="53" ht="20" customHeight="1">
      <x:c r="A53" s="4" t="str">
        <x:v>Closing inventory target</x:v>
      </x:c>
      <x:c r="B53" s="4"/>
      <x:c r="C53" s="4"/>
      <x:c r="D53" s="41" t="n">
        <x:f>D41*$B$13*$B$20/30</x:f>
        <x:v>0</x:v>
      </x:c>
      <x:c r="E53" s="41" t="n">
        <x:f>E41*$B$13*$B$20/30</x:f>
        <x:v>0</x:v>
      </x:c>
      <x:c r="F53" s="41" t="n">
        <x:f>F41*$B$13*$B$20/30</x:f>
        <x:v>0</x:v>
      </x:c>
      <x:c r="G53" s="41" t="n">
        <x:f>G41*$B$13*$B$20/30</x:f>
        <x:v>0</x:v>
      </x:c>
      <x:c r="H53" s="41" t="n">
        <x:f>H41*$B$13*$B$20/30</x:f>
        <x:v>0</x:v>
      </x:c>
      <x:c r="I53" s="41" t="n">
        <x:f>I41*$B$13*$B$20/30</x:f>
        <x:v>0</x:v>
      </x:c>
      <x:c r="J53" s="41" t="n">
        <x:f>J41*$B$13*$B$20/30</x:f>
        <x:v>0</x:v>
      </x:c>
      <x:c r="K53" s="41" t="n">
        <x:f>K41*$B$13*$B$20/30</x:f>
        <x:v>0</x:v>
      </x:c>
      <x:c r="L53" s="41" t="n">
        <x:f>L41*$B$13*$B$20/30</x:f>
        <x:v>0</x:v>
      </x:c>
      <x:c r="M53" s="41" t="n">
        <x:f>M41*$B$13*$B$20/30</x:f>
        <x:v>0</x:v>
      </x:c>
      <x:c r="N53" s="41" t="n">
        <x:f>N41*$B$13*$B$20/30</x:f>
        <x:v>0</x:v>
      </x:c>
      <x:c r="O53" s="41" t="n">
        <x:f>O41*$B$13*$B$20/30</x:f>
        <x:v>0</x:v>
      </x:c>
    </x:row>
    <x:row r="54" ht="20" customHeight="1">
      <x:c r="A54" s="4" t="str">
        <x:v>Change in inventory</x:v>
      </x:c>
      <x:c r="B54" s="4"/>
      <x:c r="C54" s="4"/>
      <x:c r="D54" s="41" t="n">
        <x:f>D53-0</x:f>
        <x:v>0</x:v>
      </x:c>
      <x:c r="E54" s="41" t="n">
        <x:f>E53-D53</x:f>
        <x:v>0</x:v>
      </x:c>
      <x:c r="F54" s="41" t="n">
        <x:f>F53-E53</x:f>
        <x:v>0</x:v>
      </x:c>
      <x:c r="G54" s="41" t="n">
        <x:f>G53-F53</x:f>
        <x:v>0</x:v>
      </x:c>
      <x:c r="H54" s="41" t="n">
        <x:f>H53-G53</x:f>
        <x:v>0</x:v>
      </x:c>
      <x:c r="I54" s="41" t="n">
        <x:f>I53-H53</x:f>
        <x:v>0</x:v>
      </x:c>
      <x:c r="J54" s="41" t="n">
        <x:f>J53-I53</x:f>
        <x:v>0</x:v>
      </x:c>
      <x:c r="K54" s="41" t="n">
        <x:f>K53-J53</x:f>
        <x:v>0</x:v>
      </x:c>
      <x:c r="L54" s="41" t="n">
        <x:f>L53-K53</x:f>
        <x:v>0</x:v>
      </x:c>
      <x:c r="M54" s="41" t="n">
        <x:f>M53-L53</x:f>
        <x:v>0</x:v>
      </x:c>
      <x:c r="N54" s="41" t="n">
        <x:f>N53-M53</x:f>
        <x:v>0</x:v>
      </x:c>
      <x:c r="O54" s="41" t="n">
        <x:f>O53-N53</x:f>
        <x:v>0</x:v>
      </x:c>
    </x:row>
    <x:row r="55" ht="20" customHeight="1">
      <x:c r="A55" s="4" t="str">
        <x:v>Purchases / variable cash obligation</x:v>
      </x:c>
      <x:c r="B55" s="4"/>
      <x:c r="C55" s="4"/>
      <x:c r="D55" s="41" t="n">
        <x:f>D41+D54</x:f>
        <x:v>56000</x:v>
      </x:c>
      <x:c r="E55" s="41" t="n">
        <x:f>E41+E54</x:f>
        <x:v>73600</x:v>
      </x:c>
      <x:c r="F55" s="41" t="n">
        <x:f>F41+F54</x:f>
        <x:v>89600</x:v>
      </x:c>
      <x:c r="G55" s="41" t="n">
        <x:f>G41+G54</x:f>
        <x:v>100800</x:v>
      </x:c>
      <x:c r="H55" s="41" t="n">
        <x:f>H41+H54</x:f>
        <x:v>107200</x:v>
      </x:c>
      <x:c r="I55" s="41" t="n">
        <x:f>I41+I54</x:f>
        <x:v>112000</x:v>
      </x:c>
      <x:c r="J55" s="41" t="n">
        <x:f>J41+J54</x:f>
        <x:v>112000</x:v>
      </x:c>
      <x:c r="K55" s="41" t="n">
        <x:f>K41+K54</x:f>
        <x:v>118400</x:v>
      </x:c>
      <x:c r="L55" s="41" t="n">
        <x:f>L41+L54</x:f>
        <x:v>118400</x:v>
      </x:c>
      <x:c r="M55" s="41" t="n">
        <x:f>M41+M54</x:f>
        <x:v>123200</x:v>
      </x:c>
      <x:c r="N55" s="41" t="n">
        <x:f>N41+N54</x:f>
        <x:v>123200</x:v>
      </x:c>
      <x:c r="O55" s="41" t="n">
        <x:f>O41+O54</x:f>
        <x:v>129600</x:v>
      </x:c>
    </x:row>
    <x:row r="56" ht="20" customHeight="1">
      <x:c r="A56" s="4" t="str">
        <x:v>Credit-eligible purchases</x:v>
      </x:c>
      <x:c r="B56" s="4"/>
      <x:c r="C56" s="4"/>
      <x:c r="D56" s="41" t="n">
        <x:f>D55*$B$14</x:f>
        <x:v>19600</x:v>
      </x:c>
      <x:c r="E56" s="41" t="n">
        <x:f>E55*$B$14</x:f>
        <x:v>25760</x:v>
      </x:c>
      <x:c r="F56" s="41" t="n">
        <x:f>F55*$B$14</x:f>
        <x:v>31359.999999999996</x:v>
      </x:c>
      <x:c r="G56" s="41" t="n">
        <x:f>G55*$B$14</x:f>
        <x:v>35280</x:v>
      </x:c>
      <x:c r="H56" s="41" t="n">
        <x:f>H55*$B$14</x:f>
        <x:v>37520</x:v>
      </x:c>
      <x:c r="I56" s="41" t="n">
        <x:f>I55*$B$14</x:f>
        <x:v>39200</x:v>
      </x:c>
      <x:c r="J56" s="41" t="n">
        <x:f>J55*$B$14</x:f>
        <x:v>39200</x:v>
      </x:c>
      <x:c r="K56" s="41" t="n">
        <x:f>K55*$B$14</x:f>
        <x:v>41440</x:v>
      </x:c>
      <x:c r="L56" s="41" t="n">
        <x:f>L55*$B$14</x:f>
        <x:v>41440</x:v>
      </x:c>
      <x:c r="M56" s="41" t="n">
        <x:f>M55*$B$14</x:f>
        <x:v>43120</x:v>
      </x:c>
      <x:c r="N56" s="41" t="n">
        <x:f>N55*$B$14</x:f>
        <x:v>43120</x:v>
      </x:c>
      <x:c r="O56" s="41" t="n">
        <x:f>O55*$B$14</x:f>
        <x:v>45360</x:v>
      </x:c>
    </x:row>
    <x:row r="57" ht="20" customHeight="1">
      <x:c r="A57" s="4" t="str">
        <x:v>Cash paid for variable costs</x:v>
      </x:c>
      <x:c r="B57" s="4"/>
      <x:c r="C57" s="4"/>
      <x:c r="D57" s="41" t="n">
        <x:f>D55-D56+IF($B$21&lt;30,D56*(1-$B$21/30)+0*$B$21/30,IF($B$21&lt;60,0*(2-$B$21/30)+0*($B$21/30-1),IF($B$21&lt;=90,0*(3-$B$21/30)+0*($B$21/30-2),0)))</x:f>
        <x:v>46200</x:v>
      </x:c>
      <x:c r="E57" s="41" t="n">
        <x:f>E55-E56+IF($B$21&lt;30,E56*(1-$B$21/30)+D56*$B$21/30,IF($B$21&lt;60,D56*(2-$B$21/30)+0*($B$21/30-1),IF($B$21&lt;=90,0*(3-$B$21/30)+0*($B$21/30-2),0)))</x:f>
        <x:v>70520</x:v>
      </x:c>
      <x:c r="F57" s="41" t="n">
        <x:f>F55-F56+IF($B$21&lt;30,F56*(1-$B$21/30)+E56*$B$21/30,IF($B$21&lt;60,E56*(2-$B$21/30)+D56*($B$21/30-1),IF($B$21&lt;=90,D56*(3-$B$21/30)+0*($B$21/30-2),0)))</x:f>
        <x:v>86800</x:v>
      </x:c>
      <x:c r="G57" s="41" t="n">
        <x:f>G55-G56+IF($B$21&lt;30,G56*(1-$B$21/30)+F56*$B$21/30,IF($B$21&lt;60,F56*(2-$B$21/30)+E56*($B$21/30-1),IF($B$21&lt;=90,E56*(3-$B$21/30)+D56*($B$21/30-2),0)))</x:f>
        <x:v>98840</x:v>
      </x:c>
      <x:c r="H57" s="41" t="n">
        <x:f>H55-H56+IF($B$21&lt;30,H56*(1-$B$21/30)+G56*$B$21/30,IF($B$21&lt;60,G56*(2-$B$21/30)+F56*($B$21/30-1),IF($B$21&lt;=90,F56*(3-$B$21/30)+E56*($B$21/30-2),0)))</x:f>
        <x:v>106080</x:v>
      </x:c>
      <x:c r="I57" s="41" t="n">
        <x:f>I55-I56+IF($B$21&lt;30,I56*(1-$B$21/30)+H56*$B$21/30,IF($B$21&lt;60,H56*(2-$B$21/30)+G56*($B$21/30-1),IF($B$21&lt;=90,G56*(3-$B$21/30)+F56*($B$21/30-2),0)))</x:f>
        <x:v>111160</x:v>
      </x:c>
      <x:c r="J57" s="41" t="n">
        <x:f>J55-J56+IF($B$21&lt;30,J56*(1-$B$21/30)+I56*$B$21/30,IF($B$21&lt;60,I56*(2-$B$21/30)+H56*($B$21/30-1),IF($B$21&lt;=90,H56*(3-$B$21/30)+G56*($B$21/30-2),0)))</x:f>
        <x:v>112000</x:v>
      </x:c>
      <x:c r="K57" s="41" t="n">
        <x:f>K55-K56+IF($B$21&lt;30,K56*(1-$B$21/30)+J56*$B$21/30,IF($B$21&lt;60,J56*(2-$B$21/30)+I56*($B$21/30-1),IF($B$21&lt;=90,I56*(3-$B$21/30)+H56*($B$21/30-2),0)))</x:f>
        <x:v>117280</x:v>
      </x:c>
      <x:c r="L57" s="41" t="n">
        <x:f>L55-L56+IF($B$21&lt;30,L56*(1-$B$21/30)+K56*$B$21/30,IF($B$21&lt;60,K56*(2-$B$21/30)+J56*($B$21/30-1),IF($B$21&lt;=90,J56*(3-$B$21/30)+I56*($B$21/30-2),0)))</x:f>
        <x:v>118400</x:v>
      </x:c>
      <x:c r="M57" s="41" t="n">
        <x:f>M55-M56+IF($B$21&lt;30,M56*(1-$B$21/30)+L56*$B$21/30,IF($B$21&lt;60,L56*(2-$B$21/30)+K56*($B$21/30-1),IF($B$21&lt;=90,K56*(3-$B$21/30)+J56*($B$21/30-2),0)))</x:f>
        <x:v>122360</x:v>
      </x:c>
      <x:c r="N57" s="41" t="n">
        <x:f>N55-N56+IF($B$21&lt;30,N56*(1-$B$21/30)+M56*$B$21/30,IF($B$21&lt;60,M56*(2-$B$21/30)+L56*($B$21/30-1),IF($B$21&lt;=90,L56*(3-$B$21/30)+K56*($B$21/30-2),0)))</x:f>
        <x:v>123200</x:v>
      </x:c>
      <x:c r="O57" s="41" t="n">
        <x:f>O55-O56+IF($B$21&lt;30,O56*(1-$B$21/30)+N56*$B$21/30,IF($B$21&lt;60,N56*(2-$B$21/30)+M56*($B$21/30-1),IF($B$21&lt;=90,M56*(3-$B$21/30)+L56*($B$21/30-2),0)))</x:f>
        <x:v>128480</x:v>
      </x:c>
    </x:row>
    <x:row r="58" ht="20" customHeight="1">
      <x:c r="A58" s="4" t="str">
        <x:v>Closing trade payables</x:v>
      </x:c>
      <x:c r="B58" s="4"/>
      <x:c r="C58" s="4"/>
      <x:c r="D58" s="41" t="n">
        <x:f>0+D56-(IF($B$21&lt;30,D56*(1-$B$21/30)+0*$B$21/30,IF($B$21&lt;60,0*(2-$B$21/30)+0*($B$21/30-1),IF($B$21&lt;=90,0*(3-$B$21/30)+0*($B$21/30-2),0))))</x:f>
        <x:v>9800</x:v>
      </x:c>
      <x:c r="E58" s="41" t="n">
        <x:f>D58+E56-(IF($B$21&lt;30,E56*(1-$B$21/30)+D56*$B$21/30,IF($B$21&lt;60,D56*(2-$B$21/30)+0*($B$21/30-1),IF($B$21&lt;=90,0*(3-$B$21/30)+0*($B$21/30-2),0))))</x:f>
        <x:v>12880</x:v>
      </x:c>
      <x:c r="F58" s="41" t="n">
        <x:f>E58+F56-(IF($B$21&lt;30,F56*(1-$B$21/30)+E56*$B$21/30,IF($B$21&lt;60,E56*(2-$B$21/30)+D56*($B$21/30-1),IF($B$21&lt;=90,D56*(3-$B$21/30)+0*($B$21/30-2),0))))</x:f>
        <x:v>15680</x:v>
      </x:c>
      <x:c r="G58" s="41" t="n">
        <x:f>F58+G56-(IF($B$21&lt;30,G56*(1-$B$21/30)+F56*$B$21/30,IF($B$21&lt;60,F56*(2-$B$21/30)+E56*($B$21/30-1),IF($B$21&lt;=90,E56*(3-$B$21/30)+D56*($B$21/30-2),0))))</x:f>
        <x:v>17640</x:v>
      </x:c>
      <x:c r="H58" s="41" t="n">
        <x:f>G58+H56-(IF($B$21&lt;30,H56*(1-$B$21/30)+G56*$B$21/30,IF($B$21&lt;60,G56*(2-$B$21/30)+F56*($B$21/30-1),IF($B$21&lt;=90,F56*(3-$B$21/30)+E56*($B$21/30-2),0))))</x:f>
        <x:v>18760</x:v>
      </x:c>
      <x:c r="I58" s="41" t="n">
        <x:f>H58+I56-(IF($B$21&lt;30,I56*(1-$B$21/30)+H56*$B$21/30,IF($B$21&lt;60,H56*(2-$B$21/30)+G56*($B$21/30-1),IF($B$21&lt;=90,G56*(3-$B$21/30)+F56*($B$21/30-2),0))))</x:f>
        <x:v>19600</x:v>
      </x:c>
      <x:c r="J58" s="41" t="n">
        <x:f>I58+J56-(IF($B$21&lt;30,J56*(1-$B$21/30)+I56*$B$21/30,IF($B$21&lt;60,I56*(2-$B$21/30)+H56*($B$21/30-1),IF($B$21&lt;=90,H56*(3-$B$21/30)+G56*($B$21/30-2),0))))</x:f>
        <x:v>19600</x:v>
      </x:c>
      <x:c r="K58" s="41" t="n">
        <x:f>J58+K56-(IF($B$21&lt;30,K56*(1-$B$21/30)+J56*$B$21/30,IF($B$21&lt;60,J56*(2-$B$21/30)+I56*($B$21/30-1),IF($B$21&lt;=90,I56*(3-$B$21/30)+H56*($B$21/30-2),0))))</x:f>
        <x:v>20720</x:v>
      </x:c>
      <x:c r="L58" s="41" t="n">
        <x:f>K58+L56-(IF($B$21&lt;30,L56*(1-$B$21/30)+K56*$B$21/30,IF($B$21&lt;60,K56*(2-$B$21/30)+J56*($B$21/30-1),IF($B$21&lt;=90,J56*(3-$B$21/30)+I56*($B$21/30-2),0))))</x:f>
        <x:v>20720</x:v>
      </x:c>
      <x:c r="M58" s="41" t="n">
        <x:f>L58+M56-(IF($B$21&lt;30,M56*(1-$B$21/30)+L56*$B$21/30,IF($B$21&lt;60,L56*(2-$B$21/30)+K56*($B$21/30-1),IF($B$21&lt;=90,K56*(3-$B$21/30)+J56*($B$21/30-2),0))))</x:f>
        <x:v>21560</x:v>
      </x:c>
      <x:c r="N58" s="41" t="n">
        <x:f>M58+N56-(IF($B$21&lt;30,N56*(1-$B$21/30)+M56*$B$21/30,IF($B$21&lt;60,M56*(2-$B$21/30)+L56*($B$21/30-1),IF($B$21&lt;=90,L56*(3-$B$21/30)+K56*($B$21/30-2),0))))</x:f>
        <x:v>21560</x:v>
      </x:c>
      <x:c r="O58" s="41" t="n">
        <x:f>N58+O56-(IF($B$21&lt;30,O56*(1-$B$21/30)+N56*$B$21/30,IF($B$21&lt;60,N56*(2-$B$21/30)+M56*($B$21/30-1),IF($B$21&lt;=90,M56*(3-$B$21/30)+L56*($B$21/30-2),0))))</x:f>
        <x:v>22680</x:v>
      </x:c>
    </x:row>
    <x:row r="59" ht="20" customHeight="1">
      <x:c r="A59" s="60" t="str">
        <x:v>Operating cash before interest/tax</x:v>
      </x:c>
      <x:c r="B59" s="60"/>
      <x:c r="C59" s="60"/>
      <x:c r="D59" s="61" t="n">
        <x:f>D51-D57-D43</x:f>
        <x:v>-161200</x:v>
      </x:c>
      <x:c r="E59" s="61" t="n">
        <x:f>E51-E57-E43</x:f>
        <x:v>-47520</x:v>
      </x:c>
      <x:c r="F59" s="61" t="n">
        <x:f>F51-F57-F43</x:f>
        <x:v>-800</x:v>
      </x:c>
      <x:c r="G59" s="61" t="n">
        <x:f>G51-G57-G43</x:f>
        <x:v>38160</x:v>
      </x:c>
      <x:c r="H59" s="61" t="n">
        <x:f>H51-H57-H43</x:f>
        <x:v>63920</x:v>
      </x:c>
      <x:c r="I59" s="61" t="n">
        <x:f>I51-I57-I43</x:f>
        <x:v>79840</x:v>
      </x:c>
      <x:c r="J59" s="61" t="n">
        <x:f>J51-J57-J43</x:f>
        <x:v>88000</x:v>
      </x:c>
      <x:c r="K59" s="61" t="n">
        <x:f>K51-K57-K43</x:f>
        <x:v>94720</x:v>
      </x:c>
      <x:c r="L59" s="61" t="n">
        <x:f>L51-L57-L43</x:f>
        <x:v>105600</x:v>
      </x:c>
      <x:c r="M59" s="61" t="n">
        <x:f>M51-M57-M43</x:f>
        <x:v>110640</x:v>
      </x:c>
      <x:c r="N59" s="61" t="n">
        <x:f>N51-N57-N43</x:f>
        <x:v>118800</x:v>
      </x:c>
      <x:c r="O59" s="61" t="n">
        <x:f>O51-O57-O43</x:f>
        <x:v>125520</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-161200</x:v>
      </x:c>
      <x:c r="E62" s="61" t="n">
        <x:f>E59-E47-E48-E60-E61</x:f>
        <x:v>-47520</x:v>
      </x:c>
      <x:c r="F62" s="61" t="n">
        <x:f>F59-F47-F48-F60-F61</x:f>
        <x:v>-800</x:v>
      </x:c>
      <x:c r="G62" s="61" t="n">
        <x:f>G59-G47-G48-G60-G61</x:f>
        <x:v>38160</x:v>
      </x:c>
      <x:c r="H62" s="61" t="n">
        <x:f>H59-H47-H48-H60-H61</x:f>
        <x:v>63920</x:v>
      </x:c>
      <x:c r="I62" s="61" t="n">
        <x:f>I59-I47-I48-I60-I61</x:f>
        <x:v>79840</x:v>
      </x:c>
      <x:c r="J62" s="61" t="n">
        <x:f>J59-J47-J48-J60-J61</x:f>
        <x:v>88000</x:v>
      </x:c>
      <x:c r="K62" s="61" t="n">
        <x:f>K59-K47-K48-K60-K61</x:f>
        <x:v>94720</x:v>
      </x:c>
      <x:c r="L62" s="61" t="n">
        <x:f>L59-L47-L48-L60-L61</x:f>
        <x:v>105600</x:v>
      </x:c>
      <x:c r="M62" s="61" t="n">
        <x:f>M59-M47-M48-M60-M61</x:f>
        <x:v>110640</x:v>
      </x:c>
      <x:c r="N62" s="61" t="n">
        <x:f>N59-N47-N48-N60-N61</x:f>
        <x:v>118800</x:v>
      </x:c>
      <x:c r="O62" s="61" t="n">
        <x:f>O59-O47-O48-O60-O61</x:f>
        <x:v>125520</x:v>
      </x:c>
    </x:row>
    <x:row r="63" ht="20" customHeight="1">
      <x:c r="A63" s="4" t="str">
        <x:v>Opening cash</x:v>
      </x:c>
      <x:c r="B63" s="4"/>
      <x:c r="C63" s="4"/>
      <x:c r="D63" s="41" t="n">
        <x:f>$B$18</x:f>
        <x:v>700000</x:v>
      </x:c>
      <x:c r="E63" s="41" t="n">
        <x:f>D64</x:f>
        <x:v>538800</x:v>
      </x:c>
      <x:c r="F63" s="41" t="n">
        <x:f>E64</x:f>
        <x:v>491280</x:v>
      </x:c>
      <x:c r="G63" s="41" t="n">
        <x:f>F64</x:f>
        <x:v>490480</x:v>
      </x:c>
      <x:c r="H63" s="41" t="n">
        <x:f>G64</x:f>
        <x:v>528640</x:v>
      </x:c>
      <x:c r="I63" s="41" t="n">
        <x:f>H64</x:f>
        <x:v>592560</x:v>
      </x:c>
      <x:c r="J63" s="41" t="n">
        <x:f>I64</x:f>
        <x:v>672400</x:v>
      </x:c>
      <x:c r="K63" s="41" t="n">
        <x:f>J64</x:f>
        <x:v>760400</x:v>
      </x:c>
      <x:c r="L63" s="41" t="n">
        <x:f>K64</x:f>
        <x:v>855120</x:v>
      </x:c>
      <x:c r="M63" s="41" t="n">
        <x:f>L64</x:f>
        <x:v>960720</x:v>
      </x:c>
      <x:c r="N63" s="41" t="n">
        <x:f>M64</x:f>
        <x:v>1071360</x:v>
      </x:c>
      <x:c r="O63" s="41" t="n">
        <x:f>N64</x:f>
        <x:v>1190160</x:v>
      </x:c>
    </x:row>
    <x:row r="64" ht="20" customHeight="1">
      <x:c r="A64" s="60" t="str">
        <x:v>Closing cash</x:v>
      </x:c>
      <x:c r="B64" s="60"/>
      <x:c r="C64" s="60"/>
      <x:c r="D64" s="61" t="n">
        <x:f>D63+D62</x:f>
        <x:v>538800</x:v>
      </x:c>
      <x:c r="E64" s="61" t="n">
        <x:f>E63+E62</x:f>
        <x:v>491280</x:v>
      </x:c>
      <x:c r="F64" s="61" t="n">
        <x:f>F63+F62</x:f>
        <x:v>490480</x:v>
      </x:c>
      <x:c r="G64" s="61" t="n">
        <x:f>G63+G62</x:f>
        <x:v>528640</x:v>
      </x:c>
      <x:c r="H64" s="61" t="n">
        <x:f>H63+H62</x:f>
        <x:v>592560</x:v>
      </x:c>
      <x:c r="I64" s="61" t="n">
        <x:f>I63+I62</x:f>
        <x:v>672400</x:v>
      </x:c>
      <x:c r="J64" s="61" t="n">
        <x:f>J63+J62</x:f>
        <x:v>760400</x:v>
      </x:c>
      <x:c r="K64" s="61" t="n">
        <x:f>K63+K62</x:f>
        <x:v>855120</x:v>
      </x:c>
      <x:c r="L64" s="61" t="n">
        <x:f>L63+L62</x:f>
        <x:v>960720</x:v>
      </x:c>
      <x:c r="M64" s="61" t="n">
        <x:f>M63+M62</x:f>
        <x:v>1071360</x:v>
      </x:c>
      <x:c r="N64" s="61" t="n">
        <x:f>N63+N62</x:f>
        <x:v>1190160</x:v>
      </x:c>
      <x:c r="O64" s="61" t="n">
        <x:f>O63+O62</x:f>
        <x:v>1315680</x:v>
      </x:c>
    </x:row>
    <x:row r="65" ht="20" customHeight="1">
      <x:c r="A65" s="60" t="str">
        <x:v>Additional funding if closing cash &lt; 0</x:v>
      </x:c>
      <x:c r="B65" s="60"/>
      <x:c r="C65" s="60"/>
      <x:c r="D65" s="61" t="n">
        <x:f>MAX(0,-D64)</x:f>
        <x:v>0</x:v>
      </x:c>
      <x:c r="E65" s="61" t="n">
        <x:f>MAX(0,-E64)</x:f>
        <x:v>0</x:v>
      </x:c>
      <x:c r="F65" s="61" t="n">
        <x:f>MAX(0,-F64)</x:f>
        <x:v>0</x:v>
      </x:c>
      <x:c r="G65" s="61" t="n">
        <x:f>MAX(0,-G64)</x:f>
        <x:v>0</x:v>
      </x:c>
      <x:c r="H65" s="61" t="n">
        <x:f>MAX(0,-H64)</x:f>
        <x:v>0</x:v>
      </x:c>
      <x:c r="I65" s="61" t="n">
        <x:f>MAX(0,-I64)</x:f>
        <x:v>0</x:v>
      </x:c>
      <x:c r="J65" s="61" t="n">
        <x:f>MAX(0,-J64)</x:f>
        <x:v>0</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OK</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OK</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OK</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OK</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OK</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OK</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2780000</x:v>
      </x:c>
      <x:c r="C71" s="4"/>
      <x:c r="D71" s="2"/>
      <x:c r="E71" s="2"/>
      <x:c r="F71" s="2"/>
      <x:c r="G71" s="2"/>
      <x:c r="H71" s="2"/>
      <x:c r="I71" s="2"/>
      <x:c r="J71" s="2"/>
      <x:c r="K71" s="2"/>
      <x:c r="L71" s="2"/>
      <x:c r="M71" s="2"/>
      <x:c r="N71" s="2"/>
      <x:c r="O71" s="2"/>
    </x:row>
    <x:row r="72" ht="28" customHeight="1">
      <x:c r="A72" s="4" t="str">
        <x:v>Equity funding at startup</x:v>
      </x:c>
      <x:c r="B72" s="66" t="n">
        <x:f>MAX(0,SUM(B15:B18)-B23)</x:f>
        <x:v>2780000</x:v>
      </x:c>
      <x:c r="C72" s="4"/>
      <x:c r="D72" s="2"/>
      <x:c r="E72" s="2"/>
      <x:c r="F72" s="2"/>
      <x:c r="G72" s="2"/>
      <x:c r="H72" s="2"/>
      <x:c r="I72" s="2"/>
      <x:c r="J72" s="2"/>
      <x:c r="K72" s="2"/>
      <x:c r="L72" s="2"/>
      <x:c r="M72" s="2"/>
      <x:c r="N72" s="2"/>
      <x:c r="O72" s="2"/>
    </x:row>
    <x:row r="73" ht="28" customHeight="1">
      <x:c r="A73" s="4" t="str">
        <x:v>Steady monthly unit contribution</x:v>
      </x:c>
      <x:c r="B73" s="66" t="n">
        <x:f>B9*B26-B10*B27</x:f>
        <x:v>4400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50</x:v>
      </x:c>
      <x:c r="C74" s="4"/>
      <x:c r="D74" s="2"/>
      <x:c r="E74" s="2"/>
      <x:c r="F74" s="2"/>
      <x:c r="G74" s="2"/>
      <x:c r="H74" s="2"/>
      <x:c r="I74" s="2"/>
      <x:c r="J74" s="2"/>
      <x:c r="K74" s="2"/>
      <x:c r="L74" s="2"/>
      <x:c r="M74" s="2"/>
      <x:c r="N74" s="2"/>
      <x:c r="O74" s="2"/>
    </x:row>
    <x:row r="75" ht="28" customHeight="1">
      <x:c r="A75" s="4" t="str">
        <x:v>Year-one operating cash profit</x:v>
      </x:c>
      <x:c r="B75" s="66" t="n">
        <x:f>SUM(D44:O44)</x:f>
        <x:v>836000</x:v>
      </x:c>
      <x:c r="C75" s="4"/>
      <x:c r="D75" s="2"/>
      <x:c r="E75" s="2"/>
      <x:c r="F75" s="2"/>
      <x:c r="G75" s="2"/>
      <x:c r="H75" s="2"/>
      <x:c r="I75" s="2"/>
      <x:c r="J75" s="2"/>
      <x:c r="K75" s="2"/>
      <x:c r="L75" s="2"/>
      <x:c r="M75" s="2"/>
      <x:c r="N75" s="2"/>
      <x:c r="O75" s="2"/>
    </x:row>
    <x:row r="76" ht="28" customHeight="1">
      <x:c r="A76" s="4" t="str">
        <x:v>Year-one minimum closing cash</x:v>
      </x:c>
      <x:c r="B76" s="66" t="n">
        <x:f>MIN(D64:O64)</x:f>
        <x:v>490480</x:v>
      </x:c>
      <x:c r="C76" s="4"/>
      <x:c r="D76" s="2"/>
      <x:c r="E76" s="2"/>
      <x:c r="F76" s="2"/>
      <x:c r="G76" s="2"/>
      <x:c r="H76" s="2"/>
      <x:c r="I76" s="2"/>
      <x:c r="J76" s="2"/>
      <x:c r="K76" s="2"/>
      <x:c r="L76" s="2"/>
      <x:c r="M76" s="2"/>
      <x:c r="N76" s="2"/>
      <x:c r="O76" s="2"/>
    </x:row>
    <x:row r="77" ht="28" customHeight="1">
      <x:c r="A77" s="4" t="str">
        <x:v>Additional opening liquidity needed</x:v>
      </x:c>
      <x:c r="B77" s="66" t="n">
        <x:f>MAX(0,-MIN(D64:O64))</x:f>
        <x:v>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ILLUSTRATIVE</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16" priority="1">
      <x:formula>D64&lt;0</x:formula>
    </x:cfRule>
  </x:conditionalFormatting>
  <x:conditionalFormatting sqref="D66:O66">
    <x:cfRule type="expression" dxfId="49" priority="2">
      <x:formula>D66&lt;&gt;"OK"</x:formula>
    </x:cfRule>
  </x:conditionalFormatting>
  <x:pageMargins left="0.7" right="0.7" top="0.75" bottom="0.75" header="0.3" footer="0.3"/>
  <x:drawing xmlns:r="http://schemas.openxmlformats.org/officeDocument/2006/relationships" r:id="R79ead2fe50c94dac"/>
  <x:legacyDrawing xmlns:r="http://schemas.openxmlformats.org/officeDocument/2006/relationships" r:id="Rf20d70a7bb374af8"/>
</x:worksheet>
</file>

<file path=xl/worksheets/sheet14.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38" hidden="0" customWidth="1"/>
    <x:col min="2" max="2" width="18" hidden="0" customWidth="1"/>
    <x:col min="3" max="3" width="4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25" customHeight="1">
      <x:c r="A1" s="8" t="str">
        <x:v>PCJ-28 | EV Two-wheeler Service &amp; Diagnostics Workshop</x:v>
      </x:c>
      <x:c r="B1" s="8"/>
      <x:c r="C1" s="8"/>
      <x:c r="D1" s="9"/>
      <x:c r="E1" s="9"/>
      <x:c r="F1" s="9"/>
      <x:c r="G1" s="9"/>
      <x:c r="H1" s="9"/>
      <x:c r="I1" s="9"/>
      <x:c r="J1" s="9"/>
      <x:c r="K1" s="9"/>
      <x:c r="L1" s="9"/>
      <x:c r="M1" s="9"/>
      <x:c r="N1" s="9"/>
      <x:c r="O1" s="9"/>
    </x:row>
    <x:row r="2" ht="25" customHeight="1">
      <x:c r="A2" s="8"/>
      <x:c r="B2" s="8"/>
      <x:c r="C2" s="8"/>
      <x:c r="D2" s="9"/>
      <x:c r="E2" s="9"/>
      <x:c r="F2" s="9"/>
      <x:c r="G2" s="9"/>
      <x:c r="H2" s="9"/>
      <x:c r="I2" s="9"/>
      <x:c r="J2" s="9"/>
      <x:c r="K2" s="9"/>
      <x:c r="L2" s="9"/>
      <x:c r="M2" s="9"/>
      <x:c r="N2" s="9"/>
      <x:c r="O2" s="9"/>
    </x:row>
    <x:row r="3" ht="25" customHeight="1">
      <x:c r="A3" s="16" t="str">
        <x:v>ILLUSTRATIVE PLANNING MODEL • INR • no subsidy assumed • zero tax inputs are placeholders, not exemption</x:v>
      </x:c>
      <x:c r="B3" s="16"/>
      <x:c r="C3" s="16"/>
      <x:c r="D3" s="17"/>
      <x:c r="E3" s="17"/>
      <x:c r="F3" s="17"/>
      <x:c r="G3" s="17"/>
      <x:c r="H3" s="17"/>
      <x:c r="I3" s="17"/>
      <x:c r="J3" s="17"/>
      <x:c r="K3" s="17"/>
      <x:c r="L3" s="17"/>
      <x:c r="M3" s="17"/>
      <x:c r="N3" s="17"/>
      <x:c r="O3" s="17"/>
    </x:row>
    <x:row r="4" ht="30" customHeight="1">
      <x:c r="A4" s="128" t="str">
        <x:f>"MODEL STATUS: "&amp;B78&amp;" | See monthly flags and funding outputs; this is not a licence, tax or investment approval."</x:f>
        <x:v>MODEL STATUS: ILLUSTRATIVE | See monthly flags and funding outputs; this is not a licence, tax or investment approval.</x:v>
      </x:c>
      <x:c r="B4" s="128"/>
      <x:c r="C4" s="128"/>
      <x:c r="D4" s="128"/>
      <x:c r="E4" s="128"/>
      <x:c r="F4" s="128"/>
      <x:c r="G4" s="128"/>
      <x:c r="H4" s="128"/>
      <x:c r="I4" s="128"/>
      <x:c r="J4" s="128"/>
      <x:c r="K4" s="128"/>
      <x:c r="L4" s="128"/>
      <x:c r="M4" s="128"/>
      <x:c r="N4" s="128"/>
      <x:c r="O4" s="128"/>
    </x:row>
    <x:row r="5" ht="20" customHeight="1">
      <x:c r="A5" s="4"/>
      <x:c r="B5" s="4"/>
      <x:c r="C5" s="4"/>
      <x:c r="D5" s="2"/>
      <x:c r="E5" s="2"/>
      <x:c r="F5" s="2"/>
      <x:c r="G5" s="2"/>
      <x:c r="H5" s="2"/>
      <x:c r="I5" s="2"/>
      <x:c r="J5" s="2"/>
      <x:c r="K5" s="2"/>
      <x:c r="L5" s="2"/>
      <x:c r="M5" s="2"/>
      <x:c r="N5" s="2"/>
      <x:c r="O5" s="2"/>
    </x:row>
    <x:row r="6" ht="20" customHeight="1">
      <x:c r="A6" s="4"/>
      <x:c r="B6" s="4"/>
      <x:c r="C6" s="4"/>
      <x:c r="D6" s="2"/>
      <x:c r="E6" s="2" t="str">
        <x:v>Month</x:v>
      </x:c>
      <x:c r="F6" s="2" t="str">
        <x:v>Closing cash (INR)</x:v>
      </x:c>
      <x:c r="G6" s="2"/>
      <x:c r="H6" s="2"/>
      <x:c r="I6" s="2"/>
      <x:c r="J6" s="2"/>
      <x:c r="K6" s="2"/>
      <x:c r="L6" s="2"/>
      <x:c r="M6" s="2"/>
      <x:c r="N6" s="2"/>
      <x:c r="O6" s="2"/>
    </x:row>
    <x:row r="7" ht="20" customHeight="1">
      <x:c r="A7" s="89" t="str">
        <x:v>Editable assumptions</x:v>
      </x:c>
      <x:c r="B7" s="89" t="str">
        <x:v>Value</x:v>
      </x:c>
      <x:c r="C7" s="89" t="str">
        <x:v>Meaning / boundary</x:v>
      </x:c>
      <x:c r="D7" s="2"/>
      <x:c r="E7" s="2" t="n">
        <x:v>1</x:v>
      </x:c>
      <x:c r="F7" s="40" t="n">
        <x:f>D64</x:f>
        <x:v>472187.5</x:v>
      </x:c>
      <x:c r="G7" s="2"/>
      <x:c r="H7" s="2"/>
      <x:c r="I7" s="2"/>
      <x:c r="J7" s="2"/>
      <x:c r="K7" s="2"/>
      <x:c r="L7" s="2"/>
      <x:c r="M7" s="2"/>
      <x:c r="N7" s="2"/>
      <x:c r="O7" s="2"/>
    </x:row>
    <x:row r="8" ht="38" customHeight="1">
      <x:c r="A8" s="90" t="str">
        <x:v>Base monthly units</x:v>
      </x:c>
      <x:c r="B8" s="106" t="n">
        <x:v>300</x:v>
      </x:c>
      <x:c r="C8" s="90" t="str">
        <x:v>Billable output, not leads or maximum capacity.</x:v>
      </x:c>
      <x:c r="D8" s="2"/>
      <x:c r="E8" s="2" t="n">
        <x:v>2</x:v>
      </x:c>
      <x:c r="F8" s="40" t="n">
        <x:f>E64</x:f>
        <x:v>392281.25000000006</x:v>
      </x:c>
      <x:c r="G8" s="2"/>
      <x:c r="H8" s="2"/>
      <x:c r="I8" s="2"/>
      <x:c r="J8" s="2"/>
      <x:c r="K8" s="2"/>
      <x:c r="L8" s="2"/>
      <x:c r="M8" s="2"/>
      <x:c r="N8" s="2"/>
      <x:c r="O8" s="2"/>
    </x:row>
    <x:row r="9" ht="38" customHeight="1">
      <x:c r="A9" s="90" t="str">
        <x:v>Net realised price / unit (INR)</x:v>
      </x:c>
      <x:c r="B9" s="106" t="n">
        <x:v>2500</x:v>
      </x:c>
      <x:c r="C9" s="90" t="str">
        <x:v>Excludes GST; net of commercial reductions.</x:v>
      </x:c>
      <x:c r="D9" s="2"/>
      <x:c r="E9" s="2" t="n">
        <x:v>3</x:v>
      </x:c>
      <x:c r="F9" s="40" t="n">
        <x:f>F64</x:f>
        <x:v>382968.75000000006</x:v>
      </x:c>
      <x:c r="G9" s="2"/>
      <x:c r="H9" s="2"/>
      <x:c r="I9" s="2"/>
      <x:c r="J9" s="2"/>
      <x:c r="K9" s="2"/>
      <x:c r="L9" s="2"/>
      <x:c r="M9" s="2"/>
      <x:c r="N9" s="2"/>
      <x:c r="O9" s="2"/>
    </x:row>
    <x:row r="10" ht="38" customHeight="1">
      <x:c r="A10" s="90" t="str">
        <x:v>Variable cash cost / unit (INR)</x:v>
      </x:c>
      <x:c r="B10" s="106" t="n">
        <x:v>1500</x:v>
      </x:c>
      <x:c r="C10" s="90" t="str">
        <x:v>Include expected direct rework/returns where relevant.</x:v>
      </x:c>
      <x:c r="D10" s="2"/>
      <x:c r="E10" s="2" t="n">
        <x:v>4</x:v>
      </x:c>
      <x:c r="F10" s="40" t="n">
        <x:f>G64</x:f>
        <x:v>416437.50000000006</x:v>
      </x:c>
      <x:c r="G10" s="2"/>
      <x:c r="H10" s="2"/>
      <x:c r="I10" s="2"/>
      <x:c r="J10" s="2"/>
      <x:c r="K10" s="2"/>
      <x:c r="L10" s="2"/>
      <x:c r="M10" s="2"/>
      <x:c r="N10" s="2"/>
      <x:c r="O10" s="2"/>
    </x:row>
    <x:row r="11" ht="38" customHeight="1">
      <x:c r="A11" s="90" t="str">
        <x:v>Fixed monthly cash cost (INR)</x:v>
      </x:c>
      <x:c r="B11" s="106" t="n">
        <x:v>200000</x:v>
      </x:c>
      <x:c r="C11" s="90" t="str">
        <x:v>Include supervision and realistic owner-replacement cost.</x:v>
      </x:c>
      <x:c r="D11" s="2"/>
      <x:c r="E11" s="2" t="n">
        <x:v>5</x:v>
      </x:c>
      <x:c r="F11" s="40" t="n">
        <x:f>H64</x:f>
        <x:v>481343.75000000006</x:v>
      </x:c>
      <x:c r="G11" s="2"/>
      <x:c r="H11" s="2"/>
      <x:c r="I11" s="2"/>
      <x:c r="J11" s="2"/>
      <x:c r="K11" s="2"/>
      <x:c r="L11" s="2"/>
      <x:c r="M11" s="2"/>
      <x:c r="N11" s="2"/>
      <x:c r="O11" s="2"/>
    </x:row>
    <x:row r="12" ht="38" customHeight="1">
      <x:c r="A12" s="90" t="str">
        <x:v>Safe / saleable monthly capacity</x:v>
      </x:c>
      <x:c r="B12" s="106" t="n">
        <x:v>600</x:v>
      </x:c>
      <x:c r="C12" s="90" t="str">
        <x:v>Planning input; does not certify safe technical capacity.</x:v>
      </x:c>
      <x:c r="D12" s="2"/>
      <x:c r="E12" s="2" t="n">
        <x:v>6</x:v>
      </x:c>
      <x:c r="F12" s="40" t="n">
        <x:f>I64</x:f>
        <x:v>564906.25</x:v>
      </x:c>
      <x:c r="G12" s="2"/>
      <x:c r="H12" s="2"/>
      <x:c r="I12" s="2"/>
      <x:c r="J12" s="2"/>
      <x:c r="K12" s="2"/>
      <x:c r="L12" s="2"/>
      <x:c r="M12" s="2"/>
      <x:c r="N12" s="2"/>
      <x:c r="O12" s="2"/>
    </x:row>
    <x:row r="13" ht="38" customHeight="1">
      <x:c r="A13" s="90" t="str">
        <x:v>Inventory-eligible share of variable cost</x:v>
      </x:c>
      <x:c r="B13" s="107" t="n">
        <x:v>0.6</x:v>
      </x:c>
      <x:c r="C13" s="90" t="str">
        <x:v>Only this share drives modelled inventory.</x:v>
      </x:c>
      <x:c r="D13" s="2"/>
      <x:c r="E13" s="2" t="n">
        <x:v>7</x:v>
      </x:c>
      <x:c r="F13" s="40" t="n">
        <x:f>J64</x:f>
        <x:v>661250</x:v>
      </x:c>
      <x:c r="G13" s="2"/>
      <x:c r="H13" s="2"/>
      <x:c r="I13" s="2"/>
      <x:c r="J13" s="2"/>
      <x:c r="K13" s="2"/>
      <x:c r="L13" s="2"/>
      <x:c r="M13" s="2"/>
      <x:c r="N13" s="2"/>
      <x:c r="O13" s="2"/>
    </x:row>
    <x:row r="14" ht="38" customHeight="1">
      <x:c r="A14" s="90" t="str">
        <x:v>Supplier-credit share of purchases</x:v>
      </x:c>
      <x:c r="B14" s="107" t="n">
        <x:v>0.65</x:v>
      </x:c>
      <x:c r="C14" s="90" t="str">
        <x:v>Other costs are paid currently; do not defer payroll unlawfully.</x:v>
      </x:c>
      <x:c r="D14" s="2"/>
      <x:c r="E14" s="2" t="n">
        <x:v>8</x:v>
      </x:c>
      <x:c r="F14" s="40" t="n">
        <x:f>K64</x:f>
        <x:v>763468.7500000001</x:v>
      </x:c>
      <x:c r="G14" s="2"/>
      <x:c r="H14" s="2"/>
      <x:c r="I14" s="2"/>
      <x:c r="J14" s="2"/>
      <x:c r="K14" s="2"/>
      <x:c r="L14" s="2"/>
      <x:c r="M14" s="2"/>
      <x:c r="N14" s="2"/>
      <x:c r="O14" s="2"/>
    </x:row>
    <x:row r="15" ht="38" customHeight="1">
      <x:c r="A15" s="90" t="str">
        <x:v>Initial installed assets (INR)</x:v>
      </x:c>
      <x:c r="B15" s="106" t="n">
        <x:v>800000</x:v>
      </x:c>
      <x:c r="C15" s="90" t="str">
        <x:v>Initial capex; further capex has a separate monthly row.</x:v>
      </x:c>
      <x:c r="D15" s="2"/>
      <x:c r="E15" s="2" t="n">
        <x:v>9</x:v>
      </x:c>
      <x:c r="F15" s="40" t="n">
        <x:f>L64</x:f>
        <x:v>874812.5000000002</x:v>
      </x:c>
      <x:c r="G15" s="2"/>
      <x:c r="H15" s="2"/>
      <x:c r="I15" s="2"/>
      <x:c r="J15" s="2"/>
      <x:c r="K15" s="2"/>
      <x:c r="L15" s="2"/>
      <x:c r="M15" s="2"/>
      <x:c r="N15" s="2"/>
      <x:c r="O15" s="2"/>
    </x:row>
    <x:row r="16" ht="38" customHeight="1">
      <x:c r="A16" s="90" t="str">
        <x:v>Refundable startup deposits (INR)</x:v>
      </x:c>
      <x:c r="B16" s="106" t="n">
        <x:v>150000</x:v>
      </x:c>
      <x:c r="C16" s="90" t="str">
        <x:v>Cash funding, not immediate operating expense.</x:v>
      </x:c>
      <x:c r="D16" s="2"/>
      <x:c r="E16" s="2" t="n">
        <x:v>10</x:v>
      </x:c>
      <x:c r="F16" s="40" t="n">
        <x:f>M64</x:f>
        <x:v>992031.2500000003</x:v>
      </x:c>
      <x:c r="G16" s="2"/>
      <x:c r="H16" s="2"/>
      <x:c r="I16" s="2"/>
      <x:c r="J16" s="2"/>
      <x:c r="K16" s="2"/>
      <x:c r="L16" s="2"/>
      <x:c r="M16" s="2"/>
      <x:c r="N16" s="2"/>
      <x:c r="O16" s="2"/>
    </x:row>
    <x:row r="17" ht="38" customHeight="1">
      <x:c r="A17" s="90" t="str">
        <x:v>Pre-opening expense (INR)</x:v>
      </x:c>
      <x:c r="B17" s="106" t="n">
        <x:v>160000</x:v>
      </x:c>
      <x:c r="C17" s="90" t="str">
        <x:v>Before month 1; excluded from forecast EBITDA.</x:v>
      </x:c>
      <x:c r="D17" s="2"/>
      <x:c r="E17" s="2" t="n">
        <x:v>11</x:v>
      </x:c>
      <x:c r="F17" s="40" t="n">
        <x:f>N64</x:f>
        <x:v>1118375.0000000005</x:v>
      </x:c>
      <x:c r="G17" s="2"/>
      <x:c r="H17" s="2"/>
      <x:c r="I17" s="2"/>
      <x:c r="J17" s="2"/>
      <x:c r="K17" s="2"/>
      <x:c r="L17" s="2"/>
      <x:c r="M17" s="2"/>
      <x:c r="N17" s="2"/>
      <x:c r="O17" s="2"/>
    </x:row>
    <x:row r="18" ht="38" customHeight="1">
      <x:c r="A18" s="90" t="str">
        <x:v>Opening cash reserve (INR)</x:v>
      </x:c>
      <x:c r="B18" s="106" t="n">
        <x:v>650000</x:v>
      </x:c>
      <x:c r="C18" s="90" t="str">
        <x:v>May be insufficient: review minimum closing cash.</x:v>
      </x:c>
      <x:c r="D18" s="2"/>
      <x:c r="E18" s="2" t="n">
        <x:v>12</x:v>
      </x:c>
      <x:c r="F18" s="40" t="n">
        <x:f>O64</x:f>
        <x:v>1250593.7500000005</x:v>
      </x:c>
      <x:c r="G18" s="2"/>
      <x:c r="H18" s="2"/>
      <x:c r="I18" s="2"/>
      <x:c r="J18" s="2"/>
      <x:c r="K18" s="2"/>
      <x:c r="L18" s="2"/>
      <x:c r="M18" s="2"/>
      <x:c r="N18" s="2"/>
      <x:c r="O18" s="2"/>
    </x:row>
    <x:row r="19" ht="38" customHeight="1">
      <x:c r="A19" s="90" t="str">
        <x:v>Collection lag (days; 0–90)</x:v>
      </x:c>
      <x:c r="B19" s="108" t="n">
        <x:v>10</x:v>
      </x:c>
      <x:c r="C19" s="90" t="str">
        <x:v>Even-in-month invoice/collection approximation.</x:v>
      </x:c>
      <x:c r="D19" s="2"/>
      <x:c r="E19" s="2"/>
      <x:c r="F19" s="2"/>
      <x:c r="G19" s="2"/>
      <x:c r="H19" s="2"/>
      <x:c r="I19" s="2"/>
      <x:c r="J19" s="2"/>
      <x:c r="K19" s="2"/>
      <x:c r="L19" s="2"/>
      <x:c r="M19" s="2"/>
      <x:c r="N19" s="2"/>
      <x:c r="O19" s="2"/>
    </x:row>
    <x:row r="20" ht="38" customHeight="1">
      <x:c r="A20" s="90" t="str">
        <x:v>Inventory target (days; 0–90)</x:v>
      </x:c>
      <x:c r="B20" s="108" t="n">
        <x:v>25</x:v>
      </x:c>
      <x:c r="C20" s="90" t="str">
        <x:v>Target valued using current variable cost share.</x:v>
      </x:c>
      <x:c r="D20" s="2"/>
      <x:c r="E20" s="2"/>
      <x:c r="F20" s="2"/>
      <x:c r="G20" s="2"/>
      <x:c r="H20" s="2"/>
      <x:c r="I20" s="2"/>
      <x:c r="J20" s="2"/>
      <x:c r="K20" s="2"/>
      <x:c r="L20" s="2"/>
      <x:c r="M20" s="2"/>
      <x:c r="N20" s="2"/>
      <x:c r="O20" s="2"/>
    </x:row>
    <x:row r="21" ht="38" customHeight="1">
      <x:c r="A21" s="90" t="str">
        <x:v>Supplier payment lag (days; 0–90)</x:v>
      </x:c>
      <x:c r="B21" s="108" t="n">
        <x:v>15</x:v>
      </x:c>
      <x:c r="C21" s="90" t="str">
        <x:v>Applies only to credit-eligible purchases.</x:v>
      </x:c>
      <x:c r="D21" s="2"/>
      <x:c r="E21" s="2"/>
      <x:c r="F21" s="2"/>
      <x:c r="G21" s="2"/>
      <x:c r="H21" s="2"/>
      <x:c r="I21" s="2"/>
      <x:c r="J21" s="2"/>
      <x:c r="K21" s="2"/>
      <x:c r="L21" s="2"/>
      <x:c r="M21" s="2"/>
      <x:c r="N21" s="2"/>
      <x:c r="O21" s="2"/>
    </x:row>
    <x:row r="22" ht="38" customHeight="1">
      <x:c r="A22" s="90" t="str">
        <x:v>Asset depreciation period (years)</x:v>
      </x:c>
      <x:c r="B22" s="106" t="n">
        <x:v>5</x:v>
      </x:c>
      <x:c r="C22" s="90" t="str">
        <x:v>Straight-line illustration; tax depreciation differs.</x:v>
      </x:c>
      <x:c r="D22" s="2"/>
      <x:c r="E22" s="2"/>
      <x:c r="F22" s="2"/>
      <x:c r="G22" s="2"/>
      <x:c r="H22" s="2"/>
      <x:c r="I22" s="2"/>
      <x:c r="J22" s="2"/>
      <x:c r="K22" s="2"/>
      <x:c r="L22" s="2"/>
      <x:c r="M22" s="2"/>
      <x:c r="N22" s="2"/>
      <x:c r="O22" s="2"/>
    </x:row>
    <x:row r="23" ht="38" customHeight="1">
      <x:c r="A23" s="90" t="str">
        <x:v>Initial loan (INR)</x:v>
      </x:c>
      <x:c r="B23" s="106" t="n">
        <x:v>0</x:v>
      </x:c>
      <x:c r="C23" s="90" t="str">
        <x:v>Funded at startup; not repeated in monthly cash.</x:v>
      </x:c>
      <x:c r="D23" s="2"/>
      <x:c r="E23" s="2"/>
      <x:c r="F23" s="2"/>
      <x:c r="G23" s="2"/>
      <x:c r="H23" s="2"/>
      <x:c r="I23" s="2"/>
      <x:c r="J23" s="2"/>
      <x:c r="K23" s="2"/>
      <x:c r="L23" s="2"/>
      <x:c r="M23" s="2"/>
      <x:c r="N23" s="2"/>
      <x:c r="O23" s="2"/>
    </x:row>
    <x:row r="24" ht="38" customHeight="1">
      <x:c r="A24" s="90" t="str">
        <x:v>Annual loan interest rate</x:v>
      </x:c>
      <x:c r="B24" s="107" t="n">
        <x:v>0.12</x:v>
      </x:c>
      <x:c r="C24" s="90" t="str">
        <x:v>Illustrative rate, not a lender quote.</x:v>
      </x:c>
      <x:c r="D24" s="2"/>
      <x:c r="E24" s="2"/>
      <x:c r="F24" s="2"/>
      <x:c r="G24" s="2"/>
      <x:c r="H24" s="2"/>
      <x:c r="I24" s="2"/>
      <x:c r="J24" s="2"/>
      <x:c r="K24" s="2"/>
      <x:c r="L24" s="2"/>
      <x:c r="M24" s="2"/>
      <x:c r="N24" s="2"/>
      <x:c r="O24" s="2"/>
    </x:row>
    <x:row r="25" ht="38" customHeight="1">
      <x:c r="A25" s="90" t="str">
        <x:v>Volume scenario multiplier</x:v>
      </x:c>
      <x:c r="B25" s="109" t="n">
        <x:v>1</x:v>
      </x:c>
      <x:c r="C25" s="90" t="str">
        <x:v>1.00x is base; monthly ramp remains editable.</x:v>
      </x:c>
      <x:c r="D25" s="2"/>
      <x:c r="E25" s="2"/>
      <x:c r="F25" s="2"/>
      <x:c r="G25" s="2"/>
      <x:c r="H25" s="2"/>
      <x:c r="I25" s="2"/>
      <x:c r="J25" s="2"/>
      <x:c r="K25" s="2"/>
      <x:c r="L25" s="2"/>
      <x:c r="M25" s="2"/>
      <x:c r="N25" s="2"/>
      <x:c r="O25" s="2"/>
    </x:row>
    <x:row r="26" ht="38" customHeight="1">
      <x:c r="A26" s="90" t="str">
        <x:v>Price scenario multiplier</x:v>
      </x:c>
      <x:c r="B26" s="109" t="n">
        <x:v>1</x:v>
      </x:c>
      <x:c r="C26" s="90" t="str">
        <x:v>1.00x is base; no guaranteed selling price.</x:v>
      </x:c>
      <x:c r="D26" s="2"/>
      <x:c r="E26" s="2"/>
      <x:c r="F26" s="2"/>
      <x:c r="G26" s="2"/>
      <x:c r="H26" s="2"/>
      <x:c r="I26" s="2"/>
      <x:c r="J26" s="2"/>
      <x:c r="K26" s="2"/>
      <x:c r="L26" s="2"/>
      <x:c r="M26" s="2"/>
      <x:c r="N26" s="2"/>
      <x:c r="O26" s="2"/>
    </x:row>
    <x:row r="27" ht="38" customHeight="1">
      <x:c r="A27" s="90" t="str">
        <x:v>Variable-cost scenario multiplier</x:v>
      </x:c>
      <x:c r="B27" s="109" t="n">
        <x:v>1</x:v>
      </x:c>
      <x:c r="C27" s="90" t="str">
        <x:v>1.00x is base; stress direct cost.</x:v>
      </x:c>
      <x:c r="D27" s="2"/>
      <x:c r="E27" s="2"/>
      <x:c r="F27" s="2"/>
      <x:c r="G27" s="2"/>
      <x:c r="H27" s="2"/>
      <x:c r="I27" s="2"/>
      <x:c r="J27" s="2"/>
      <x:c r="K27" s="2"/>
      <x:c r="L27" s="2"/>
      <x:c r="M27" s="2"/>
      <x:c r="N27" s="2"/>
      <x:c r="O27" s="2"/>
    </x:row>
    <x:row r="28" ht="38" customHeight="1">
      <x:c r="A28" s="90" t="str">
        <x:v>Fixed-cost scenario multiplier</x:v>
      </x:c>
      <x:c r="B28" s="109" t="n">
        <x:v>1</x:v>
      </x:c>
      <x:c r="C28" s="90" t="str">
        <x:v>1.00x is base; stress overhead.</x:v>
      </x:c>
      <x:c r="D28" s="2"/>
      <x:c r="E28" s="2"/>
      <x:c r="F28" s="2"/>
      <x:c r="G28" s="2"/>
      <x:c r="H28" s="2"/>
      <x:c r="I28" s="2"/>
      <x:c r="J28" s="2"/>
      <x:c r="K28" s="2"/>
      <x:c r="L28" s="2"/>
      <x:c r="M28" s="2"/>
      <x:c r="N28" s="2"/>
      <x:c r="O28" s="2"/>
    </x:row>
    <x:row r="29" ht="20" customHeight="1">
      <x:c r="A29" s="4"/>
      <x:c r="B29" s="4"/>
      <x:c r="C29" s="4"/>
      <x:c r="D29" s="2"/>
      <x:c r="E29" s="2"/>
      <x:c r="F29" s="2"/>
      <x:c r="G29" s="2"/>
      <x:c r="H29" s="2"/>
      <x:c r="I29" s="2"/>
      <x:c r="J29" s="2"/>
      <x:c r="K29" s="2"/>
      <x:c r="L29" s="2"/>
      <x:c r="M29" s="2"/>
      <x:c r="N29" s="2"/>
      <x:c r="O29" s="2"/>
    </x:row>
    <x:row r="30" ht="24" customHeight="1">
      <x:c r="A30" s="4" t="str">
        <x:v>Unit: completed service jobs. Deposits are not revenue. This is an approximate monthly operating/cash model, not a full tax return or statutory balance sheet.</x:v>
      </x:c>
      <x:c r="B30" s="4"/>
      <x:c r="C30" s="4"/>
      <x:c r="D30" s="2"/>
      <x:c r="E30" s="2"/>
      <x:c r="F30" s="2"/>
      <x:c r="G30" s="2"/>
      <x:c r="H30" s="2"/>
      <x:c r="I30" s="2"/>
      <x:c r="J30" s="2"/>
      <x:c r="K30" s="2"/>
      <x:c r="L30" s="2"/>
      <x:c r="M30" s="2"/>
      <x:c r="N30" s="2"/>
      <x:c r="O30" s="2"/>
    </x:row>
    <x:row r="31" ht="24" customHeight="1">
      <x:c r="A31" s="4"/>
      <x:c r="B31" s="4"/>
      <x:c r="C31" s="4"/>
      <x:c r="D31" s="2"/>
      <x:c r="E31" s="2"/>
      <x:c r="F31" s="2"/>
      <x:c r="G31" s="2"/>
      <x:c r="H31" s="2"/>
      <x:c r="I31" s="2"/>
      <x:c r="J31" s="2"/>
      <x:c r="K31" s="2"/>
      <x:c r="L31" s="2"/>
      <x:c r="M31" s="2"/>
      <x:c r="N31" s="2"/>
      <x:c r="O31" s="2"/>
    </x:row>
    <x:row r="32" ht="20" customHeight="1">
      <x:c r="A32" s="4"/>
      <x:c r="B32" s="4"/>
      <x:c r="C32" s="4"/>
      <x:c r="D32" s="2"/>
      <x:c r="E32" s="2"/>
      <x:c r="F32" s="2"/>
      <x:c r="G32" s="2"/>
      <x:c r="H32" s="2"/>
      <x:c r="I32" s="2"/>
      <x:c r="J32" s="2"/>
      <x:c r="K32" s="2"/>
      <x:c r="L32" s="2"/>
      <x:c r="M32" s="2"/>
      <x:c r="N32" s="2"/>
      <x:c r="O32" s="2"/>
    </x:row>
    <x:row r="33" ht="20" customHeight="1">
      <x:c r="A33" s="4"/>
      <x:c r="B33" s="4"/>
      <x:c r="C33" s="4"/>
      <x:c r="D33" s="2"/>
      <x:c r="E33" s="2"/>
      <x:c r="F33" s="2"/>
      <x:c r="G33" s="2"/>
      <x:c r="H33" s="2"/>
      <x:c r="I33" s="2"/>
      <x:c r="J33" s="2"/>
      <x:c r="K33" s="2"/>
      <x:c r="L33" s="2"/>
      <x:c r="M33" s="2"/>
      <x:c r="N33" s="2"/>
      <x:c r="O33" s="2"/>
    </x:row>
    <x:row r="34" ht="26" customHeight="1">
      <x:c r="A34" s="22" t="str">
        <x:v>12-MONTH OPERATING AND CASH FORECAST | INR</x:v>
      </x:c>
      <x:c r="B34" s="22"/>
      <x:c r="C34" s="22"/>
      <x:c r="D34" s="36" t="str">
        <x:v>Month 1</x:v>
      </x:c>
      <x:c r="E34" s="36" t="str">
        <x:v>Month 2</x:v>
      </x:c>
      <x:c r="F34" s="36" t="str">
        <x:v>Month 3</x:v>
      </x:c>
      <x:c r="G34" s="36" t="str">
        <x:v>Month 4</x:v>
      </x:c>
      <x:c r="H34" s="36" t="str">
        <x:v>Month 5</x:v>
      </x:c>
      <x:c r="I34" s="36" t="str">
        <x:v>Month 6</x:v>
      </x:c>
      <x:c r="J34" s="36" t="str">
        <x:v>Month 7</x:v>
      </x:c>
      <x:c r="K34" s="36" t="str">
        <x:v>Month 8</x:v>
      </x:c>
      <x:c r="L34" s="36" t="str">
        <x:v>Month 9</x:v>
      </x:c>
      <x:c r="M34" s="36" t="str">
        <x:v>Month 10</x:v>
      </x:c>
      <x:c r="N34" s="36" t="str">
        <x:v>Month 11</x:v>
      </x:c>
      <x:c r="O34" s="36" t="str">
        <x:v>Month 12</x:v>
      </x:c>
    </x:row>
    <x:row r="35" ht="20" customHeight="1">
      <x:c r="A35" s="4" t="str">
        <x:v>Volume ramp / seasonality (editable)</x:v>
      </x:c>
      <x:c r="B35" s="4"/>
      <x:c r="C35" s="4"/>
      <x:c r="D35" s="49" t="n">
        <x:v>0.5</x:v>
      </x:c>
      <x:c r="E35" s="49" t="n">
        <x:v>0.65</x:v>
      </x:c>
      <x:c r="F35" s="49" t="n">
        <x:v>0.8</x:v>
      </x:c>
      <x:c r="G35" s="49" t="n">
        <x:v>0.9</x:v>
      </x:c>
      <x:c r="H35" s="49" t="n">
        <x:v>0.95</x:v>
      </x:c>
      <x:c r="I35" s="49" t="n">
        <x:v>1</x:v>
      </x:c>
      <x:c r="J35" s="49" t="n">
        <x:v>1</x:v>
      </x:c>
      <x:c r="K35" s="49" t="n">
        <x:v>1.05</x:v>
      </x:c>
      <x:c r="L35" s="49" t="n">
        <x:v>1.05</x:v>
      </x:c>
      <x:c r="M35" s="49" t="n">
        <x:v>1.1</x:v>
      </x:c>
      <x:c r="N35" s="49" t="n">
        <x:v>1.1</x:v>
      </x:c>
      <x:c r="O35" s="49" t="n">
        <x:v>1.15</x:v>
      </x:c>
    </x:row>
    <x:row r="36" ht="20" customHeight="1">
      <x:c r="A36" s="4" t="str">
        <x:v>Billable units</x:v>
      </x:c>
      <x:c r="B36" s="4"/>
      <x:c r="C36" s="4"/>
      <x:c r="D36" s="41" t="n">
        <x:f>ROUND($B$8*D35*$B$25,0)</x:f>
        <x:v>150</x:v>
      </x:c>
      <x:c r="E36" s="41" t="n">
        <x:f>ROUND($B$8*E35*$B$25,0)</x:f>
        <x:v>195</x:v>
      </x:c>
      <x:c r="F36" s="41" t="n">
        <x:f>ROUND($B$8*F35*$B$25,0)</x:f>
        <x:v>240</x:v>
      </x:c>
      <x:c r="G36" s="41" t="n">
        <x:f>ROUND($B$8*G35*$B$25,0)</x:f>
        <x:v>270</x:v>
      </x:c>
      <x:c r="H36" s="41" t="n">
        <x:f>ROUND($B$8*H35*$B$25,0)</x:f>
        <x:v>285</x:v>
      </x:c>
      <x:c r="I36" s="41" t="n">
        <x:f>ROUND($B$8*I35*$B$25,0)</x:f>
        <x:v>300</x:v>
      </x:c>
      <x:c r="J36" s="41" t="n">
        <x:f>ROUND($B$8*J35*$B$25,0)</x:f>
        <x:v>300</x:v>
      </x:c>
      <x:c r="K36" s="41" t="n">
        <x:f>ROUND($B$8*K35*$B$25,0)</x:f>
        <x:v>315</x:v>
      </x:c>
      <x:c r="L36" s="41" t="n">
        <x:f>ROUND($B$8*L35*$B$25,0)</x:f>
        <x:v>315</x:v>
      </x:c>
      <x:c r="M36" s="41" t="n">
        <x:f>ROUND($B$8*M35*$B$25,0)</x:f>
        <x:v>330</x:v>
      </x:c>
      <x:c r="N36" s="41" t="n">
        <x:f>ROUND($B$8*N35*$B$25,0)</x:f>
        <x:v>330</x:v>
      </x:c>
      <x:c r="O36" s="41" t="n">
        <x:f>ROUND($B$8*O35*$B$25,0)</x:f>
        <x:v>345</x:v>
      </x:c>
    </x:row>
    <x:row r="37" ht="20" customHeight="1">
      <x:c r="A37" s="4" t="str">
        <x:v>Safe / saleable capacity</x:v>
      </x:c>
      <x:c r="B37" s="4"/>
      <x:c r="C37" s="4"/>
      <x:c r="D37" s="41" t="n">
        <x:f>$B$12</x:f>
        <x:v>600</x:v>
      </x:c>
      <x:c r="E37" s="41" t="n">
        <x:f>$B$12</x:f>
        <x:v>600</x:v>
      </x:c>
      <x:c r="F37" s="41" t="n">
        <x:f>$B$12</x:f>
        <x:v>600</x:v>
      </x:c>
      <x:c r="G37" s="41" t="n">
        <x:f>$B$12</x:f>
        <x:v>600</x:v>
      </x:c>
      <x:c r="H37" s="41" t="n">
        <x:f>$B$12</x:f>
        <x:v>600</x:v>
      </x:c>
      <x:c r="I37" s="41" t="n">
        <x:f>$B$12</x:f>
        <x:v>600</x:v>
      </x:c>
      <x:c r="J37" s="41" t="n">
        <x:f>$B$12</x:f>
        <x:v>600</x:v>
      </x:c>
      <x:c r="K37" s="41" t="n">
        <x:f>$B$12</x:f>
        <x:v>600</x:v>
      </x:c>
      <x:c r="L37" s="41" t="n">
        <x:f>$B$12</x:f>
        <x:v>600</x:v>
      </x:c>
      <x:c r="M37" s="41" t="n">
        <x:f>$B$12</x:f>
        <x:v>600</x:v>
      </x:c>
      <x:c r="N37" s="41" t="n">
        <x:f>$B$12</x:f>
        <x:v>600</x:v>
      </x:c>
      <x:c r="O37" s="41" t="n">
        <x:f>$B$12</x:f>
        <x:v>600</x:v>
      </x:c>
    </x:row>
    <x:row r="38" ht="20" customHeight="1">
      <x:c r="A38" s="4" t="str">
        <x:v>Capacity utilisation</x:v>
      </x:c>
      <x:c r="B38" s="4"/>
      <x:c r="C38" s="4"/>
      <x:c r="D38" s="46" t="n">
        <x:f>IF(D37&gt;0,D36/D37,0)</x:f>
        <x:v>0.25</x:v>
      </x:c>
      <x:c r="E38" s="46" t="n">
        <x:f>IF(E37&gt;0,E36/E37,0)</x:f>
        <x:v>0.325</x:v>
      </x:c>
      <x:c r="F38" s="46" t="n">
        <x:f>IF(F37&gt;0,F36/F37,0)</x:f>
        <x:v>0.4</x:v>
      </x:c>
      <x:c r="G38" s="46" t="n">
        <x:f>IF(G37&gt;0,G36/G37,0)</x:f>
        <x:v>0.45</x:v>
      </x:c>
      <x:c r="H38" s="46" t="n">
        <x:f>IF(H37&gt;0,H36/H37,0)</x:f>
        <x:v>0.475</x:v>
      </x:c>
      <x:c r="I38" s="46" t="n">
        <x:f>IF(I37&gt;0,I36/I37,0)</x:f>
        <x:v>0.5</x:v>
      </x:c>
      <x:c r="J38" s="46" t="n">
        <x:f>IF(J37&gt;0,J36/J37,0)</x:f>
        <x:v>0.5</x:v>
      </x:c>
      <x:c r="K38" s="46" t="n">
        <x:f>IF(K37&gt;0,K36/K37,0)</x:f>
        <x:v>0.525</x:v>
      </x:c>
      <x:c r="L38" s="46" t="n">
        <x:f>IF(L37&gt;0,L36/L37,0)</x:f>
        <x:v>0.525</x:v>
      </x:c>
      <x:c r="M38" s="46" t="n">
        <x:f>IF(M37&gt;0,M36/M37,0)</x:f>
        <x:v>0.55</x:v>
      </x:c>
      <x:c r="N38" s="46" t="n">
        <x:f>IF(N37&gt;0,N36/N37,0)</x:f>
        <x:v>0.55</x:v>
      </x:c>
      <x:c r="O38" s="46" t="n">
        <x:f>IF(O37&gt;0,O36/O37,0)</x:f>
        <x:v>0.575</x:v>
      </x:c>
    </x:row>
    <x:row r="39" ht="20" customHeight="1">
      <x:c r="A39" s="4" t="str">
        <x:v>Net realised unit price</x:v>
      </x:c>
      <x:c r="B39" s="4"/>
      <x:c r="C39" s="4"/>
      <x:c r="D39" s="41" t="n">
        <x:f>$B$9*$B$26</x:f>
        <x:v>2500</x:v>
      </x:c>
      <x:c r="E39" s="41" t="n">
        <x:f>$B$9*$B$26</x:f>
        <x:v>2500</x:v>
      </x:c>
      <x:c r="F39" s="41" t="n">
        <x:f>$B$9*$B$26</x:f>
        <x:v>2500</x:v>
      </x:c>
      <x:c r="G39" s="41" t="n">
        <x:f>$B$9*$B$26</x:f>
        <x:v>2500</x:v>
      </x:c>
      <x:c r="H39" s="41" t="n">
        <x:f>$B$9*$B$26</x:f>
        <x:v>2500</x:v>
      </x:c>
      <x:c r="I39" s="41" t="n">
        <x:f>$B$9*$B$26</x:f>
        <x:v>2500</x:v>
      </x:c>
      <x:c r="J39" s="41" t="n">
        <x:f>$B$9*$B$26</x:f>
        <x:v>2500</x:v>
      </x:c>
      <x:c r="K39" s="41" t="n">
        <x:f>$B$9*$B$26</x:f>
        <x:v>2500</x:v>
      </x:c>
      <x:c r="L39" s="41" t="n">
        <x:f>$B$9*$B$26</x:f>
        <x:v>2500</x:v>
      </x:c>
      <x:c r="M39" s="41" t="n">
        <x:f>$B$9*$B$26</x:f>
        <x:v>2500</x:v>
      </x:c>
      <x:c r="N39" s="41" t="n">
        <x:f>$B$9*$B$26</x:f>
        <x:v>2500</x:v>
      </x:c>
      <x:c r="O39" s="41" t="n">
        <x:f>$B$9*$B$26</x:f>
        <x:v>2500</x:v>
      </x:c>
    </x:row>
    <x:row r="40" ht="20" customHeight="1">
      <x:c r="A40" s="60" t="str">
        <x:v>Revenue, excluding GST</x:v>
      </x:c>
      <x:c r="B40" s="60"/>
      <x:c r="C40" s="60"/>
      <x:c r="D40" s="61" t="n">
        <x:f>D36*D39</x:f>
        <x:v>375000</x:v>
      </x:c>
      <x:c r="E40" s="61" t="n">
        <x:f>E36*E39</x:f>
        <x:v>487500</x:v>
      </x:c>
      <x:c r="F40" s="61" t="n">
        <x:f>F36*F39</x:f>
        <x:v>600000</x:v>
      </x:c>
      <x:c r="G40" s="61" t="n">
        <x:f>G36*G39</x:f>
        <x:v>675000</x:v>
      </x:c>
      <x:c r="H40" s="61" t="n">
        <x:f>H36*H39</x:f>
        <x:v>712500</x:v>
      </x:c>
      <x:c r="I40" s="61" t="n">
        <x:f>I36*I39</x:f>
        <x:v>750000</x:v>
      </x:c>
      <x:c r="J40" s="61" t="n">
        <x:f>J36*J39</x:f>
        <x:v>750000</x:v>
      </x:c>
      <x:c r="K40" s="61" t="n">
        <x:f>K36*K39</x:f>
        <x:v>787500</x:v>
      </x:c>
      <x:c r="L40" s="61" t="n">
        <x:f>L36*L39</x:f>
        <x:v>787500</x:v>
      </x:c>
      <x:c r="M40" s="61" t="n">
        <x:f>M36*M39</x:f>
        <x:v>825000</x:v>
      </x:c>
      <x:c r="N40" s="61" t="n">
        <x:f>N36*N39</x:f>
        <x:v>825000</x:v>
      </x:c>
      <x:c r="O40" s="61" t="n">
        <x:f>O36*O39</x:f>
        <x:v>862500</x:v>
      </x:c>
    </x:row>
    <x:row r="41" ht="20" customHeight="1">
      <x:c r="A41" s="4" t="str">
        <x:v>Variable cash cost</x:v>
      </x:c>
      <x:c r="B41" s="4"/>
      <x:c r="C41" s="4"/>
      <x:c r="D41" s="41" t="n">
        <x:f>D36*$B$10*$B$27</x:f>
        <x:v>225000</x:v>
      </x:c>
      <x:c r="E41" s="41" t="n">
        <x:f>E36*$B$10*$B$27</x:f>
        <x:v>292500</x:v>
      </x:c>
      <x:c r="F41" s="41" t="n">
        <x:f>F36*$B$10*$B$27</x:f>
        <x:v>360000</x:v>
      </x:c>
      <x:c r="G41" s="41" t="n">
        <x:f>G36*$B$10*$B$27</x:f>
        <x:v>405000</x:v>
      </x:c>
      <x:c r="H41" s="41" t="n">
        <x:f>H36*$B$10*$B$27</x:f>
        <x:v>427500</x:v>
      </x:c>
      <x:c r="I41" s="41" t="n">
        <x:f>I36*$B$10*$B$27</x:f>
        <x:v>450000</x:v>
      </x:c>
      <x:c r="J41" s="41" t="n">
        <x:f>J36*$B$10*$B$27</x:f>
        <x:v>450000</x:v>
      </x:c>
      <x:c r="K41" s="41" t="n">
        <x:f>K36*$B$10*$B$27</x:f>
        <x:v>472500</x:v>
      </x:c>
      <x:c r="L41" s="41" t="n">
        <x:f>L36*$B$10*$B$27</x:f>
        <x:v>472500</x:v>
      </x:c>
      <x:c r="M41" s="41" t="n">
        <x:f>M36*$B$10*$B$27</x:f>
        <x:v>495000</x:v>
      </x:c>
      <x:c r="N41" s="41" t="n">
        <x:f>N36*$B$10*$B$27</x:f>
        <x:v>495000</x:v>
      </x:c>
      <x:c r="O41" s="41" t="n">
        <x:f>O36*$B$10*$B$27</x:f>
        <x:v>517500</x:v>
      </x:c>
    </x:row>
    <x:row r="42" ht="20" customHeight="1">
      <x:c r="A42" s="4" t="str">
        <x:v>Contribution</x:v>
      </x:c>
      <x:c r="B42" s="4"/>
      <x:c r="C42" s="4"/>
      <x:c r="D42" s="41" t="n">
        <x:f>D40-D41</x:f>
        <x:v>150000</x:v>
      </x:c>
      <x:c r="E42" s="41" t="n">
        <x:f>E40-E41</x:f>
        <x:v>195000</x:v>
      </x:c>
      <x:c r="F42" s="41" t="n">
        <x:f>F40-F41</x:f>
        <x:v>240000</x:v>
      </x:c>
      <x:c r="G42" s="41" t="n">
        <x:f>G40-G41</x:f>
        <x:v>270000</x:v>
      </x:c>
      <x:c r="H42" s="41" t="n">
        <x:f>H40-H41</x:f>
        <x:v>285000</x:v>
      </x:c>
      <x:c r="I42" s="41" t="n">
        <x:f>I40-I41</x:f>
        <x:v>300000</x:v>
      </x:c>
      <x:c r="J42" s="41" t="n">
        <x:f>J40-J41</x:f>
        <x:v>300000</x:v>
      </x:c>
      <x:c r="K42" s="41" t="n">
        <x:f>K40-K41</x:f>
        <x:v>315000</x:v>
      </x:c>
      <x:c r="L42" s="41" t="n">
        <x:f>L40-L41</x:f>
        <x:v>315000</x:v>
      </x:c>
      <x:c r="M42" s="41" t="n">
        <x:f>M40-M41</x:f>
        <x:v>330000</x:v>
      </x:c>
      <x:c r="N42" s="41" t="n">
        <x:f>N40-N41</x:f>
        <x:v>330000</x:v>
      </x:c>
      <x:c r="O42" s="41" t="n">
        <x:f>O40-O41</x:f>
        <x:v>345000</x:v>
      </x:c>
    </x:row>
    <x:row r="43" ht="20" customHeight="1">
      <x:c r="A43" s="4" t="str">
        <x:v>Fixed cash cost</x:v>
      </x:c>
      <x:c r="B43" s="4"/>
      <x:c r="C43" s="4"/>
      <x:c r="D43" s="41" t="n">
        <x:f>$B$11*$B$28</x:f>
        <x:v>200000</x:v>
      </x:c>
      <x:c r="E43" s="41" t="n">
        <x:f>$B$11*$B$28</x:f>
        <x:v>200000</x:v>
      </x:c>
      <x:c r="F43" s="41" t="n">
        <x:f>$B$11*$B$28</x:f>
        <x:v>200000</x:v>
      </x:c>
      <x:c r="G43" s="41" t="n">
        <x:f>$B$11*$B$28</x:f>
        <x:v>200000</x:v>
      </x:c>
      <x:c r="H43" s="41" t="n">
        <x:f>$B$11*$B$28</x:f>
        <x:v>200000</x:v>
      </x:c>
      <x:c r="I43" s="41" t="n">
        <x:f>$B$11*$B$28</x:f>
        <x:v>200000</x:v>
      </x:c>
      <x:c r="J43" s="41" t="n">
        <x:f>$B$11*$B$28</x:f>
        <x:v>200000</x:v>
      </x:c>
      <x:c r="K43" s="41" t="n">
        <x:f>$B$11*$B$28</x:f>
        <x:v>200000</x:v>
      </x:c>
      <x:c r="L43" s="41" t="n">
        <x:f>$B$11*$B$28</x:f>
        <x:v>200000</x:v>
      </x:c>
      <x:c r="M43" s="41" t="n">
        <x:f>$B$11*$B$28</x:f>
        <x:v>200000</x:v>
      </x:c>
      <x:c r="N43" s="41" t="n">
        <x:f>$B$11*$B$28</x:f>
        <x:v>200000</x:v>
      </x:c>
      <x:c r="O43" s="41" t="n">
        <x:f>$B$11*$B$28</x:f>
        <x:v>200000</x:v>
      </x:c>
    </x:row>
    <x:row r="44" ht="20" customHeight="1">
      <x:c r="A44" s="60" t="str">
        <x:v>Operating cash profit (EBITDA)</x:v>
      </x:c>
      <x:c r="B44" s="60"/>
      <x:c r="C44" s="60"/>
      <x:c r="D44" s="61" t="n">
        <x:f>D42-D43</x:f>
        <x:v>-50000</x:v>
      </x:c>
      <x:c r="E44" s="61" t="n">
        <x:f>E42-E43</x:f>
        <x:v>-5000</x:v>
      </x:c>
      <x:c r="F44" s="61" t="n">
        <x:f>F42-F43</x:f>
        <x:v>40000</x:v>
      </x:c>
      <x:c r="G44" s="61" t="n">
        <x:f>G42-G43</x:f>
        <x:v>70000</x:v>
      </x:c>
      <x:c r="H44" s="61" t="n">
        <x:f>H42-H43</x:f>
        <x:v>85000</x:v>
      </x:c>
      <x:c r="I44" s="61" t="n">
        <x:f>I42-I43</x:f>
        <x:v>100000</x:v>
      </x:c>
      <x:c r="J44" s="61" t="n">
        <x:f>J42-J43</x:f>
        <x:v>100000</x:v>
      </x:c>
      <x:c r="K44" s="61" t="n">
        <x:f>K42-K43</x:f>
        <x:v>115000</x:v>
      </x:c>
      <x:c r="L44" s="61" t="n">
        <x:f>L42-L43</x:f>
        <x:v>115000</x:v>
      </x:c>
      <x:c r="M44" s="61" t="n">
        <x:f>M42-M43</x:f>
        <x:v>130000</x:v>
      </x:c>
      <x:c r="N44" s="61" t="n">
        <x:f>N42-N43</x:f>
        <x:v>130000</x:v>
      </x:c>
      <x:c r="O44" s="61" t="n">
        <x:f>O42-O43</x:f>
        <x:v>145000</x:v>
      </x:c>
    </x:row>
    <x:row r="45" ht="20" customHeight="1">
      <x:c r="A45" s="4" t="str">
        <x:v>Illustrative depreciation</x:v>
      </x:c>
      <x:c r="B45" s="4"/>
      <x:c r="C45" s="4"/>
      <x:c r="D45" s="41" t="n">
        <x:f>IF($B$22&gt;0,$B$15/$B$22/12,0)</x:f>
        <x:v>13333.333333333334</x:v>
      </x:c>
      <x:c r="E45" s="41" t="n">
        <x:f>IF($B$22&gt;0,$B$15/$B$22/12,0)</x:f>
        <x:v>13333.333333333334</x:v>
      </x:c>
      <x:c r="F45" s="41" t="n">
        <x:f>IF($B$22&gt;0,$B$15/$B$22/12,0)</x:f>
        <x:v>13333.333333333334</x:v>
      </x:c>
      <x:c r="G45" s="41" t="n">
        <x:f>IF($B$22&gt;0,$B$15/$B$22/12,0)</x:f>
        <x:v>13333.333333333334</x:v>
      </x:c>
      <x:c r="H45" s="41" t="n">
        <x:f>IF($B$22&gt;0,$B$15/$B$22/12,0)</x:f>
        <x:v>13333.333333333334</x:v>
      </x:c>
      <x:c r="I45" s="41" t="n">
        <x:f>IF($B$22&gt;0,$B$15/$B$22/12,0)</x:f>
        <x:v>13333.333333333334</x:v>
      </x:c>
      <x:c r="J45" s="41" t="n">
        <x:f>IF($B$22&gt;0,$B$15/$B$22/12,0)</x:f>
        <x:v>13333.333333333334</x:v>
      </x:c>
      <x:c r="K45" s="41" t="n">
        <x:f>IF($B$22&gt;0,$B$15/$B$22/12,0)</x:f>
        <x:v>13333.333333333334</x:v>
      </x:c>
      <x:c r="L45" s="41" t="n">
        <x:f>IF($B$22&gt;0,$B$15/$B$22/12,0)</x:f>
        <x:v>13333.333333333334</x:v>
      </x:c>
      <x:c r="M45" s="41" t="n">
        <x:f>IF($B$22&gt;0,$B$15/$B$22/12,0)</x:f>
        <x:v>13333.333333333334</x:v>
      </x:c>
      <x:c r="N45" s="41" t="n">
        <x:f>IF($B$22&gt;0,$B$15/$B$22/12,0)</x:f>
        <x:v>13333.333333333334</x:v>
      </x:c>
      <x:c r="O45" s="41" t="n">
        <x:f>IF($B$22&gt;0,$B$15/$B$22/12,0)</x:f>
        <x:v>13333.333333333334</x:v>
      </x:c>
    </x:row>
    <x:row r="46" ht="20" customHeight="1">
      <x:c r="A46" s="4" t="str">
        <x:v>Opening loan</x:v>
      </x:c>
      <x:c r="B46" s="4"/>
      <x:c r="C46" s="4"/>
      <x:c r="D46" s="41" t="n">
        <x:f>$B$23</x:f>
        <x:v>0</x:v>
      </x:c>
      <x:c r="E46" s="41" t="n">
        <x:f>D49</x:f>
        <x:v>0</x:v>
      </x:c>
      <x:c r="F46" s="41" t="n">
        <x:f>E49</x:f>
        <x:v>0</x:v>
      </x:c>
      <x:c r="G46" s="41" t="n">
        <x:f>F49</x:f>
        <x:v>0</x:v>
      </x:c>
      <x:c r="H46" s="41" t="n">
        <x:f>G49</x:f>
        <x:v>0</x:v>
      </x:c>
      <x:c r="I46" s="41" t="n">
        <x:f>H49</x:f>
        <x:v>0</x:v>
      </x:c>
      <x:c r="J46" s="41" t="n">
        <x:f>I49</x:f>
        <x:v>0</x:v>
      </x:c>
      <x:c r="K46" s="41" t="n">
        <x:f>J49</x:f>
        <x:v>0</x:v>
      </x:c>
      <x:c r="L46" s="41" t="n">
        <x:f>K49</x:f>
        <x:v>0</x:v>
      </x:c>
      <x:c r="M46" s="41" t="n">
        <x:f>L49</x:f>
        <x:v>0</x:v>
      </x:c>
      <x:c r="N46" s="41" t="n">
        <x:f>M49</x:f>
        <x:v>0</x:v>
      </x:c>
      <x:c r="O46" s="41" t="n">
        <x:f>N49</x:f>
        <x:v>0</x:v>
      </x:c>
    </x:row>
    <x:row r="47" ht="20" customHeight="1">
      <x:c r="A47" s="4" t="str">
        <x:v>Loan interest</x:v>
      </x:c>
      <x:c r="B47" s="4"/>
      <x:c r="C47" s="4"/>
      <x:c r="D47" s="41" t="n">
        <x:f>D46*$B$24/12</x:f>
        <x:v>0</x:v>
      </x:c>
      <x:c r="E47" s="41" t="n">
        <x:f>E46*$B$24/12</x:f>
        <x:v>0</x:v>
      </x:c>
      <x:c r="F47" s="41" t="n">
        <x:f>F46*$B$24/12</x:f>
        <x:v>0</x:v>
      </x:c>
      <x:c r="G47" s="41" t="n">
        <x:f>G46*$B$24/12</x:f>
        <x:v>0</x:v>
      </x:c>
      <x:c r="H47" s="41" t="n">
        <x:f>H46*$B$24/12</x:f>
        <x:v>0</x:v>
      </x:c>
      <x:c r="I47" s="41" t="n">
        <x:f>I46*$B$24/12</x:f>
        <x:v>0</x:v>
      </x:c>
      <x:c r="J47" s="41" t="n">
        <x:f>J46*$B$24/12</x:f>
        <x:v>0</x:v>
      </x:c>
      <x:c r="K47" s="41" t="n">
        <x:f>K46*$B$24/12</x:f>
        <x:v>0</x:v>
      </x:c>
      <x:c r="L47" s="41" t="n">
        <x:f>L46*$B$24/12</x:f>
        <x:v>0</x:v>
      </x:c>
      <x:c r="M47" s="41" t="n">
        <x:f>M46*$B$24/12</x:f>
        <x:v>0</x:v>
      </x:c>
      <x:c r="N47" s="41" t="n">
        <x:f>N46*$B$24/12</x:f>
        <x:v>0</x:v>
      </x:c>
      <x:c r="O47" s="41" t="n">
        <x:f>O46*$B$24/12</x:f>
        <x:v>0</x:v>
      </x:c>
    </x:row>
    <x:row r="48" ht="20" customHeight="1">
      <x:c r="A48" s="4" t="str">
        <x:v>Principal repayment (editable)</x:v>
      </x:c>
      <x:c r="B48" s="4"/>
      <x:c r="C48" s="4"/>
      <x:c r="D48" s="53" t="n">
        <x:v>0</x:v>
      </x:c>
      <x:c r="E48" s="53" t="n">
        <x:v>0</x:v>
      </x:c>
      <x:c r="F48" s="53" t="n">
        <x:v>0</x:v>
      </x:c>
      <x:c r="G48" s="53" t="n">
        <x:v>0</x:v>
      </x:c>
      <x:c r="H48" s="53" t="n">
        <x:v>0</x:v>
      </x:c>
      <x:c r="I48" s="53" t="n">
        <x:v>0</x:v>
      </x:c>
      <x:c r="J48" s="53" t="n">
        <x:v>0</x:v>
      </x:c>
      <x:c r="K48" s="53" t="n">
        <x:v>0</x:v>
      </x:c>
      <x:c r="L48" s="53" t="n">
        <x:v>0</x:v>
      </x:c>
      <x:c r="M48" s="53" t="n">
        <x:v>0</x:v>
      </x:c>
      <x:c r="N48" s="53" t="n">
        <x:v>0</x:v>
      </x:c>
      <x:c r="O48" s="53" t="n">
        <x:v>0</x:v>
      </x:c>
    </x:row>
    <x:row r="49" ht="20" customHeight="1">
      <x:c r="A49" s="4" t="str">
        <x:v>Closing loan</x:v>
      </x:c>
      <x:c r="B49" s="4"/>
      <x:c r="C49" s="4"/>
      <x:c r="D49" s="41" t="n">
        <x:f>D46-D48</x:f>
        <x:v>0</x:v>
      </x:c>
      <x:c r="E49" s="41" t="n">
        <x:f>E46-E48</x:f>
        <x:v>0</x:v>
      </x:c>
      <x:c r="F49" s="41" t="n">
        <x:f>F46-F48</x:f>
        <x:v>0</x:v>
      </x:c>
      <x:c r="G49" s="41" t="n">
        <x:f>G46-G48</x:f>
        <x:v>0</x:v>
      </x:c>
      <x:c r="H49" s="41" t="n">
        <x:f>H46-H48</x:f>
        <x:v>0</x:v>
      </x:c>
      <x:c r="I49" s="41" t="n">
        <x:f>I46-I48</x:f>
        <x:v>0</x:v>
      </x:c>
      <x:c r="J49" s="41" t="n">
        <x:f>J46-J48</x:f>
        <x:v>0</x:v>
      </x:c>
      <x:c r="K49" s="41" t="n">
        <x:f>K46-K48</x:f>
        <x:v>0</x:v>
      </x:c>
      <x:c r="L49" s="41" t="n">
        <x:f>L46-L48</x:f>
        <x:v>0</x:v>
      </x:c>
      <x:c r="M49" s="41" t="n">
        <x:f>M46-M48</x:f>
        <x:v>0</x:v>
      </x:c>
      <x:c r="N49" s="41" t="n">
        <x:f>N46-N48</x:f>
        <x:v>0</x:v>
      </x:c>
      <x:c r="O49" s="41" t="n">
        <x:f>O46-O48</x:f>
        <x:v>0</x:v>
      </x:c>
    </x:row>
    <x:row r="50" ht="20" customHeight="1">
      <x:c r="A50" s="60" t="str">
        <x:v>Accounting profit before tax</x:v>
      </x:c>
      <x:c r="B50" s="60"/>
      <x:c r="C50" s="60"/>
      <x:c r="D50" s="61" t="n">
        <x:f>D44-D45-D47</x:f>
        <x:v>-63333.333333333336</x:v>
      </x:c>
      <x:c r="E50" s="61" t="n">
        <x:f>E44-E45-E47</x:f>
        <x:v>-18333.333333333336</x:v>
      </x:c>
      <x:c r="F50" s="61" t="n">
        <x:f>F44-F45-F47</x:f>
        <x:v>26666.666666666664</x:v>
      </x:c>
      <x:c r="G50" s="61" t="n">
        <x:f>G44-G45-G47</x:f>
        <x:v>56666.666666666664</x:v>
      </x:c>
      <x:c r="H50" s="61" t="n">
        <x:f>H44-H45-H47</x:f>
        <x:v>71666.66666666667</x:v>
      </x:c>
      <x:c r="I50" s="61" t="n">
        <x:f>I44-I45-I47</x:f>
        <x:v>86666.66666666667</x:v>
      </x:c>
      <x:c r="J50" s="61" t="n">
        <x:f>J44-J45-J47</x:f>
        <x:v>86666.66666666667</x:v>
      </x:c>
      <x:c r="K50" s="61" t="n">
        <x:f>K44-K45-K47</x:f>
        <x:v>101666.66666666667</x:v>
      </x:c>
      <x:c r="L50" s="61" t="n">
        <x:f>L44-L45-L47</x:f>
        <x:v>101666.66666666667</x:v>
      </x:c>
      <x:c r="M50" s="61" t="n">
        <x:f>M44-M45-M47</x:f>
        <x:v>116666.66666666667</x:v>
      </x:c>
      <x:c r="N50" s="61" t="n">
        <x:f>N44-N45-N47</x:f>
        <x:v>116666.66666666667</x:v>
      </x:c>
      <x:c r="O50" s="61" t="n">
        <x:f>O44-O45-O47</x:f>
        <x:v>131666.66666666666</x:v>
      </x:c>
    </x:row>
    <x:row r="51" ht="20" customHeight="1">
      <x:c r="A51" s="4" t="str">
        <x:v>Customer cash receipts</x:v>
      </x:c>
      <x:c r="B51" s="4"/>
      <x:c r="C51" s="4"/>
      <x:c r="D51" s="41" t="n">
        <x:f>IF($B$19&lt;30,D40*(1-$B$19/30)+0*$B$19/30,IF($B$19&lt;60,0*(2-$B$19/30)+0*($B$19/30-1),IF($B$19&lt;=90,0*(3-$B$19/30)+0*($B$19/30-2),0)))</x:f>
        <x:v>250000.00000000003</x:v>
      </x:c>
      <x:c r="E51" s="41" t="n">
        <x:f>IF($B$19&lt;30,E40*(1-$B$19/30)+D40*$B$19/30,IF($B$19&lt;60,D40*(2-$B$19/30)+0*($B$19/30-1),IF($B$19&lt;=90,0*(3-$B$19/30)+0*($B$19/30-2),0)))</x:f>
        <x:v>450000.00000000006</x:v>
      </x:c>
      <x:c r="F51" s="41" t="n">
        <x:f>IF($B$19&lt;30,F40*(1-$B$19/30)+E40*$B$19/30,IF($B$19&lt;60,E40*(2-$B$19/30)+D40*($B$19/30-1),IF($B$19&lt;=90,D40*(3-$B$19/30)+0*($B$19/30-2),0)))</x:f>
        <x:v>562500</x:v>
      </x:c>
      <x:c r="G51" s="41" t="n">
        <x:f>IF($B$19&lt;30,G40*(1-$B$19/30)+F40*$B$19/30,IF($B$19&lt;60,F40*(2-$B$19/30)+E40*($B$19/30-1),IF($B$19&lt;=90,E40*(3-$B$19/30)+D40*($B$19/30-2),0)))</x:f>
        <x:v>650000</x:v>
      </x:c>
      <x:c r="H51" s="41" t="n">
        <x:f>IF($B$19&lt;30,H40*(1-$B$19/30)+G40*$B$19/30,IF($B$19&lt;60,G40*(2-$B$19/30)+F40*($B$19/30-1),IF($B$19&lt;=90,F40*(3-$B$19/30)+E40*($B$19/30-2),0)))</x:f>
        <x:v>700000</x:v>
      </x:c>
      <x:c r="I51" s="41" t="n">
        <x:f>IF($B$19&lt;30,I40*(1-$B$19/30)+H40*$B$19/30,IF($B$19&lt;60,H40*(2-$B$19/30)+G40*($B$19/30-1),IF($B$19&lt;=90,G40*(3-$B$19/30)+F40*($B$19/30-2),0)))</x:f>
        <x:v>737500</x:v>
      </x:c>
      <x:c r="J51" s="41" t="n">
        <x:f>IF($B$19&lt;30,J40*(1-$B$19/30)+I40*$B$19/30,IF($B$19&lt;60,I40*(2-$B$19/30)+H40*($B$19/30-1),IF($B$19&lt;=90,H40*(3-$B$19/30)+G40*($B$19/30-2),0)))</x:f>
        <x:v>750000</x:v>
      </x:c>
      <x:c r="K51" s="41" t="n">
        <x:f>IF($B$19&lt;30,K40*(1-$B$19/30)+J40*$B$19/30,IF($B$19&lt;60,J40*(2-$B$19/30)+I40*($B$19/30-1),IF($B$19&lt;=90,I40*(3-$B$19/30)+H40*($B$19/30-2),0)))</x:f>
        <x:v>775000.0000000001</x:v>
      </x:c>
      <x:c r="L51" s="41" t="n">
        <x:f>IF($B$19&lt;30,L40*(1-$B$19/30)+K40*$B$19/30,IF($B$19&lt;60,K40*(2-$B$19/30)+J40*($B$19/30-1),IF($B$19&lt;=90,J40*(3-$B$19/30)+I40*($B$19/30-2),0)))</x:f>
        <x:v>787500.0000000001</x:v>
      </x:c>
      <x:c r="M51" s="41" t="n">
        <x:f>IF($B$19&lt;30,M40*(1-$B$19/30)+L40*$B$19/30,IF($B$19&lt;60,L40*(2-$B$19/30)+K40*($B$19/30-1),IF($B$19&lt;=90,K40*(3-$B$19/30)+J40*($B$19/30-2),0)))</x:f>
        <x:v>812500.0000000001</x:v>
      </x:c>
      <x:c r="N51" s="41" t="n">
        <x:f>IF($B$19&lt;30,N40*(1-$B$19/30)+M40*$B$19/30,IF($B$19&lt;60,M40*(2-$B$19/30)+L40*($B$19/30-1),IF($B$19&lt;=90,L40*(3-$B$19/30)+K40*($B$19/30-2),0)))</x:f>
        <x:v>825000.0000000001</x:v>
      </x:c>
      <x:c r="O51" s="41" t="n">
        <x:f>IF($B$19&lt;30,O40*(1-$B$19/30)+N40*$B$19/30,IF($B$19&lt;60,N40*(2-$B$19/30)+M40*($B$19/30-1),IF($B$19&lt;=90,M40*(3-$B$19/30)+L40*($B$19/30-2),0)))</x:f>
        <x:v>850000.0000000001</x:v>
      </x:c>
    </x:row>
    <x:row r="52" ht="20" customHeight="1">
      <x:c r="A52" s="4" t="str">
        <x:v>Closing receivables</x:v>
      </x:c>
      <x:c r="B52" s="4"/>
      <x:c r="C52" s="4"/>
      <x:c r="D52" s="41" t="n">
        <x:f>0+D40-D51</x:f>
        <x:v>124999.99999999997</x:v>
      </x:c>
      <x:c r="E52" s="41" t="n">
        <x:f>D52+E40-E51</x:f>
        <x:v>162499.99999999994</x:v>
      </x:c>
      <x:c r="F52" s="41" t="n">
        <x:f>E52+F40-F51</x:f>
        <x:v>200000</x:v>
      </x:c>
      <x:c r="G52" s="41" t="n">
        <x:f>F52+G40-G51</x:f>
        <x:v>225000</x:v>
      </x:c>
      <x:c r="H52" s="41" t="n">
        <x:f>G52+H40-H51</x:f>
        <x:v>237500</x:v>
      </x:c>
      <x:c r="I52" s="41" t="n">
        <x:f>H52+I40-I51</x:f>
        <x:v>250000</x:v>
      </x:c>
      <x:c r="J52" s="41" t="n">
        <x:f>I52+J40-J51</x:f>
        <x:v>250000</x:v>
      </x:c>
      <x:c r="K52" s="41" t="n">
        <x:f>J52+K40-K51</x:f>
        <x:v>262499.9999999999</x:v>
      </x:c>
      <x:c r="L52" s="41" t="n">
        <x:f>K52+L40-L51</x:f>
        <x:v>262499.9999999999</x:v>
      </x:c>
      <x:c r="M52" s="41" t="n">
        <x:f>L52+M40-M51</x:f>
        <x:v>274999.9999999999</x:v>
      </x:c>
      <x:c r="N52" s="41" t="n">
        <x:f>M52+N40-N51</x:f>
        <x:v>274999.9999999999</x:v>
      </x:c>
      <x:c r="O52" s="41" t="n">
        <x:f>N52+O40-O51</x:f>
        <x:v>287499.9999999999</x:v>
      </x:c>
    </x:row>
    <x:row r="53" ht="20" customHeight="1">
      <x:c r="A53" s="4" t="str">
        <x:v>Closing inventory target</x:v>
      </x:c>
      <x:c r="B53" s="4"/>
      <x:c r="C53" s="4"/>
      <x:c r="D53" s="41" t="n">
        <x:f>D41*$B$13*$B$20/30</x:f>
        <x:v>112500</x:v>
      </x:c>
      <x:c r="E53" s="41" t="n">
        <x:f>E41*$B$13*$B$20/30</x:f>
        <x:v>146250</x:v>
      </x:c>
      <x:c r="F53" s="41" t="n">
        <x:f>F41*$B$13*$B$20/30</x:f>
        <x:v>180000</x:v>
      </x:c>
      <x:c r="G53" s="41" t="n">
        <x:f>G41*$B$13*$B$20/30</x:f>
        <x:v>202500</x:v>
      </x:c>
      <x:c r="H53" s="41" t="n">
        <x:f>H41*$B$13*$B$20/30</x:f>
        <x:v>213750</x:v>
      </x:c>
      <x:c r="I53" s="41" t="n">
        <x:f>I41*$B$13*$B$20/30</x:f>
        <x:v>225000</x:v>
      </x:c>
      <x:c r="J53" s="41" t="n">
        <x:f>J41*$B$13*$B$20/30</x:f>
        <x:v>225000</x:v>
      </x:c>
      <x:c r="K53" s="41" t="n">
        <x:f>K41*$B$13*$B$20/30</x:f>
        <x:v>236250</x:v>
      </x:c>
      <x:c r="L53" s="41" t="n">
        <x:f>L41*$B$13*$B$20/30</x:f>
        <x:v>236250</x:v>
      </x:c>
      <x:c r="M53" s="41" t="n">
        <x:f>M41*$B$13*$B$20/30</x:f>
        <x:v>247500</x:v>
      </x:c>
      <x:c r="N53" s="41" t="n">
        <x:f>N41*$B$13*$B$20/30</x:f>
        <x:v>247500</x:v>
      </x:c>
      <x:c r="O53" s="41" t="n">
        <x:f>O41*$B$13*$B$20/30</x:f>
        <x:v>258750</x:v>
      </x:c>
    </x:row>
    <x:row r="54" ht="20" customHeight="1">
      <x:c r="A54" s="4" t="str">
        <x:v>Change in inventory</x:v>
      </x:c>
      <x:c r="B54" s="4"/>
      <x:c r="C54" s="4"/>
      <x:c r="D54" s="41" t="n">
        <x:f>D53-0</x:f>
        <x:v>112500</x:v>
      </x:c>
      <x:c r="E54" s="41" t="n">
        <x:f>E53-D53</x:f>
        <x:v>33750</x:v>
      </x:c>
      <x:c r="F54" s="41" t="n">
        <x:f>F53-E53</x:f>
        <x:v>33750</x:v>
      </x:c>
      <x:c r="G54" s="41" t="n">
        <x:f>G53-F53</x:f>
        <x:v>22500</x:v>
      </x:c>
      <x:c r="H54" s="41" t="n">
        <x:f>H53-G53</x:f>
        <x:v>11250</x:v>
      </x:c>
      <x:c r="I54" s="41" t="n">
        <x:f>I53-H53</x:f>
        <x:v>11250</x:v>
      </x:c>
      <x:c r="J54" s="41" t="n">
        <x:f>J53-I53</x:f>
        <x:v>0</x:v>
      </x:c>
      <x:c r="K54" s="41" t="n">
        <x:f>K53-J53</x:f>
        <x:v>11250</x:v>
      </x:c>
      <x:c r="L54" s="41" t="n">
        <x:f>L53-K53</x:f>
        <x:v>0</x:v>
      </x:c>
      <x:c r="M54" s="41" t="n">
        <x:f>M53-L53</x:f>
        <x:v>11250</x:v>
      </x:c>
      <x:c r="N54" s="41" t="n">
        <x:f>N53-M53</x:f>
        <x:v>0</x:v>
      </x:c>
      <x:c r="O54" s="41" t="n">
        <x:f>O53-N53</x:f>
        <x:v>11250</x:v>
      </x:c>
    </x:row>
    <x:row r="55" ht="20" customHeight="1">
      <x:c r="A55" s="4" t="str">
        <x:v>Purchases / variable cash obligation</x:v>
      </x:c>
      <x:c r="B55" s="4"/>
      <x:c r="C55" s="4"/>
      <x:c r="D55" s="41" t="n">
        <x:f>D41+D54</x:f>
        <x:v>337500</x:v>
      </x:c>
      <x:c r="E55" s="41" t="n">
        <x:f>E41+E54</x:f>
        <x:v>326250</x:v>
      </x:c>
      <x:c r="F55" s="41" t="n">
        <x:f>F41+F54</x:f>
        <x:v>393750</x:v>
      </x:c>
      <x:c r="G55" s="41" t="n">
        <x:f>G41+G54</x:f>
        <x:v>427500</x:v>
      </x:c>
      <x:c r="H55" s="41" t="n">
        <x:f>H41+H54</x:f>
        <x:v>438750</x:v>
      </x:c>
      <x:c r="I55" s="41" t="n">
        <x:f>I41+I54</x:f>
        <x:v>461250</x:v>
      </x:c>
      <x:c r="J55" s="41" t="n">
        <x:f>J41+J54</x:f>
        <x:v>450000</x:v>
      </x:c>
      <x:c r="K55" s="41" t="n">
        <x:f>K41+K54</x:f>
        <x:v>483750</x:v>
      </x:c>
      <x:c r="L55" s="41" t="n">
        <x:f>L41+L54</x:f>
        <x:v>472500</x:v>
      </x:c>
      <x:c r="M55" s="41" t="n">
        <x:f>M41+M54</x:f>
        <x:v>506250</x:v>
      </x:c>
      <x:c r="N55" s="41" t="n">
        <x:f>N41+N54</x:f>
        <x:v>495000</x:v>
      </x:c>
      <x:c r="O55" s="41" t="n">
        <x:f>O41+O54</x:f>
        <x:v>528750</x:v>
      </x:c>
    </x:row>
    <x:row r="56" ht="20" customHeight="1">
      <x:c r="A56" s="4" t="str">
        <x:v>Credit-eligible purchases</x:v>
      </x:c>
      <x:c r="B56" s="4"/>
      <x:c r="C56" s="4"/>
      <x:c r="D56" s="41" t="n">
        <x:f>D55*$B$14</x:f>
        <x:v>219375</x:v>
      </x:c>
      <x:c r="E56" s="41" t="n">
        <x:f>E55*$B$14</x:f>
        <x:v>212062.5</x:v>
      </x:c>
      <x:c r="F56" s="41" t="n">
        <x:f>F55*$B$14</x:f>
        <x:v>255937.5</x:v>
      </x:c>
      <x:c r="G56" s="41" t="n">
        <x:f>G55*$B$14</x:f>
        <x:v>277875</x:v>
      </x:c>
      <x:c r="H56" s="41" t="n">
        <x:f>H55*$B$14</x:f>
        <x:v>285187.5</x:v>
      </x:c>
      <x:c r="I56" s="41" t="n">
        <x:f>I55*$B$14</x:f>
        <x:v>299812.5</x:v>
      </x:c>
      <x:c r="J56" s="41" t="n">
        <x:f>J55*$B$14</x:f>
        <x:v>292500</x:v>
      </x:c>
      <x:c r="K56" s="41" t="n">
        <x:f>K55*$B$14</x:f>
        <x:v>314437.5</x:v>
      </x:c>
      <x:c r="L56" s="41" t="n">
        <x:f>L55*$B$14</x:f>
        <x:v>307125</x:v>
      </x:c>
      <x:c r="M56" s="41" t="n">
        <x:f>M55*$B$14</x:f>
        <x:v>329062.5</x:v>
      </x:c>
      <x:c r="N56" s="41" t="n">
        <x:f>N55*$B$14</x:f>
        <x:v>321750</x:v>
      </x:c>
      <x:c r="O56" s="41" t="n">
        <x:f>O55*$B$14</x:f>
        <x:v>343687.5</x:v>
      </x:c>
    </x:row>
    <x:row r="57" ht="20" customHeight="1">
      <x:c r="A57" s="4" t="str">
        <x:v>Cash paid for variable costs</x:v>
      </x:c>
      <x:c r="B57" s="4"/>
      <x:c r="C57" s="4"/>
      <x:c r="D57" s="41" t="n">
        <x:f>D55-D56+IF($B$21&lt;30,D56*(1-$B$21/30)+0*$B$21/30,IF($B$21&lt;60,0*(2-$B$21/30)+0*($B$21/30-1),IF($B$21&lt;=90,0*(3-$B$21/30)+0*($B$21/30-2),0)))</x:f>
        <x:v>227812.5</x:v>
      </x:c>
      <x:c r="E57" s="41" t="n">
        <x:f>E55-E56+IF($B$21&lt;30,E56*(1-$B$21/30)+D56*$B$21/30,IF($B$21&lt;60,D56*(2-$B$21/30)+0*($B$21/30-1),IF($B$21&lt;=90,0*(3-$B$21/30)+0*($B$21/30-2),0)))</x:f>
        <x:v>329906.25</x:v>
      </x:c>
      <x:c r="F57" s="41" t="n">
        <x:f>F55-F56+IF($B$21&lt;30,F56*(1-$B$21/30)+E56*$B$21/30,IF($B$21&lt;60,E56*(2-$B$21/30)+D56*($B$21/30-1),IF($B$21&lt;=90,D56*(3-$B$21/30)+0*($B$21/30-2),0)))</x:f>
        <x:v>371812.5</x:v>
      </x:c>
      <x:c r="G57" s="41" t="n">
        <x:f>G55-G56+IF($B$21&lt;30,G56*(1-$B$21/30)+F56*$B$21/30,IF($B$21&lt;60,F56*(2-$B$21/30)+E56*($B$21/30-1),IF($B$21&lt;=90,E56*(3-$B$21/30)+D56*($B$21/30-2),0)))</x:f>
        <x:v>416531.25</x:v>
      </x:c>
      <x:c r="H57" s="41" t="n">
        <x:f>H55-H56+IF($B$21&lt;30,H56*(1-$B$21/30)+G56*$B$21/30,IF($B$21&lt;60,G56*(2-$B$21/30)+F56*($B$21/30-1),IF($B$21&lt;=90,F56*(3-$B$21/30)+E56*($B$21/30-2),0)))</x:f>
        <x:v>435093.75</x:v>
      </x:c>
      <x:c r="I57" s="41" t="n">
        <x:f>I55-I56+IF($B$21&lt;30,I56*(1-$B$21/30)+H56*$B$21/30,IF($B$21&lt;60,H56*(2-$B$21/30)+G56*($B$21/30-1),IF($B$21&lt;=90,G56*(3-$B$21/30)+F56*($B$21/30-2),0)))</x:f>
        <x:v>453937.5</x:v>
      </x:c>
      <x:c r="J57" s="41" t="n">
        <x:f>J55-J56+IF($B$21&lt;30,J56*(1-$B$21/30)+I56*$B$21/30,IF($B$21&lt;60,I56*(2-$B$21/30)+H56*($B$21/30-1),IF($B$21&lt;=90,H56*(3-$B$21/30)+G56*($B$21/30-2),0)))</x:f>
        <x:v>453656.25</x:v>
      </x:c>
      <x:c r="K57" s="41" t="n">
        <x:f>K55-K56+IF($B$21&lt;30,K56*(1-$B$21/30)+J56*$B$21/30,IF($B$21&lt;60,J56*(2-$B$21/30)+I56*($B$21/30-1),IF($B$21&lt;=90,I56*(3-$B$21/30)+H56*($B$21/30-2),0)))</x:f>
        <x:v>472781.25</x:v>
      </x:c>
      <x:c r="L57" s="41" t="n">
        <x:f>L55-L56+IF($B$21&lt;30,L56*(1-$B$21/30)+K56*$B$21/30,IF($B$21&lt;60,K56*(2-$B$21/30)+J56*($B$21/30-1),IF($B$21&lt;=90,J56*(3-$B$21/30)+I56*($B$21/30-2),0)))</x:f>
        <x:v>476156.25</x:v>
      </x:c>
      <x:c r="M57" s="41" t="n">
        <x:f>M55-M56+IF($B$21&lt;30,M56*(1-$B$21/30)+L56*$B$21/30,IF($B$21&lt;60,L56*(2-$B$21/30)+K56*($B$21/30-1),IF($B$21&lt;=90,K56*(3-$B$21/30)+J56*($B$21/30-2),0)))</x:f>
        <x:v>495281.25</x:v>
      </x:c>
      <x:c r="N57" s="41" t="n">
        <x:f>N55-N56+IF($B$21&lt;30,N56*(1-$B$21/30)+M56*$B$21/30,IF($B$21&lt;60,M56*(2-$B$21/30)+L56*($B$21/30-1),IF($B$21&lt;=90,L56*(3-$B$21/30)+K56*($B$21/30-2),0)))</x:f>
        <x:v>498656.25</x:v>
      </x:c>
      <x:c r="O57" s="41" t="n">
        <x:f>O55-O56+IF($B$21&lt;30,O56*(1-$B$21/30)+N56*$B$21/30,IF($B$21&lt;60,N56*(2-$B$21/30)+M56*($B$21/30-1),IF($B$21&lt;=90,M56*(3-$B$21/30)+L56*($B$21/30-2),0)))</x:f>
        <x:v>517781.25</x:v>
      </x:c>
    </x:row>
    <x:row r="58" ht="20" customHeight="1">
      <x:c r="A58" s="4" t="str">
        <x:v>Closing trade payables</x:v>
      </x:c>
      <x:c r="B58" s="4"/>
      <x:c r="C58" s="4"/>
      <x:c r="D58" s="41" t="n">
        <x:f>0+D56-(IF($B$21&lt;30,D56*(1-$B$21/30)+0*$B$21/30,IF($B$21&lt;60,0*(2-$B$21/30)+0*($B$21/30-1),IF($B$21&lt;=90,0*(3-$B$21/30)+0*($B$21/30-2),0))))</x:f>
        <x:v>109687.5</x:v>
      </x:c>
      <x:c r="E58" s="41" t="n">
        <x:f>D58+E56-(IF($B$21&lt;30,E56*(1-$B$21/30)+D56*$B$21/30,IF($B$21&lt;60,D56*(2-$B$21/30)+0*($B$21/30-1),IF($B$21&lt;=90,0*(3-$B$21/30)+0*($B$21/30-2),0))))</x:f>
        <x:v>106031.25</x:v>
      </x:c>
      <x:c r="F58" s="41" t="n">
        <x:f>E58+F56-(IF($B$21&lt;30,F56*(1-$B$21/30)+E56*$B$21/30,IF($B$21&lt;60,E56*(2-$B$21/30)+D56*($B$21/30-1),IF($B$21&lt;=90,D56*(3-$B$21/30)+0*($B$21/30-2),0))))</x:f>
        <x:v>127968.75</x:v>
      </x:c>
      <x:c r="G58" s="41" t="n">
        <x:f>F58+G56-(IF($B$21&lt;30,G56*(1-$B$21/30)+F56*$B$21/30,IF($B$21&lt;60,F56*(2-$B$21/30)+E56*($B$21/30-1),IF($B$21&lt;=90,E56*(3-$B$21/30)+D56*($B$21/30-2),0))))</x:f>
        <x:v>138937.5</x:v>
      </x:c>
      <x:c r="H58" s="41" t="n">
        <x:f>G58+H56-(IF($B$21&lt;30,H56*(1-$B$21/30)+G56*$B$21/30,IF($B$21&lt;60,G56*(2-$B$21/30)+F56*($B$21/30-1),IF($B$21&lt;=90,F56*(3-$B$21/30)+E56*($B$21/30-2),0))))</x:f>
        <x:v>142593.75</x:v>
      </x:c>
      <x:c r="I58" s="41" t="n">
        <x:f>H58+I56-(IF($B$21&lt;30,I56*(1-$B$21/30)+H56*$B$21/30,IF($B$21&lt;60,H56*(2-$B$21/30)+G56*($B$21/30-1),IF($B$21&lt;=90,G56*(3-$B$21/30)+F56*($B$21/30-2),0))))</x:f>
        <x:v>149906.25</x:v>
      </x:c>
      <x:c r="J58" s="41" t="n">
        <x:f>I58+J56-(IF($B$21&lt;30,J56*(1-$B$21/30)+I56*$B$21/30,IF($B$21&lt;60,I56*(2-$B$21/30)+H56*($B$21/30-1),IF($B$21&lt;=90,H56*(3-$B$21/30)+G56*($B$21/30-2),0))))</x:f>
        <x:v>146250</x:v>
      </x:c>
      <x:c r="K58" s="41" t="n">
        <x:f>J58+K56-(IF($B$21&lt;30,K56*(1-$B$21/30)+J56*$B$21/30,IF($B$21&lt;60,J56*(2-$B$21/30)+I56*($B$21/30-1),IF($B$21&lt;=90,I56*(3-$B$21/30)+H56*($B$21/30-2),0))))</x:f>
        <x:v>157218.75</x:v>
      </x:c>
      <x:c r="L58" s="41" t="n">
        <x:f>K58+L56-(IF($B$21&lt;30,L56*(1-$B$21/30)+K56*$B$21/30,IF($B$21&lt;60,K56*(2-$B$21/30)+J56*($B$21/30-1),IF($B$21&lt;=90,J56*(3-$B$21/30)+I56*($B$21/30-2),0))))</x:f>
        <x:v>153562.5</x:v>
      </x:c>
      <x:c r="M58" s="41" t="n">
        <x:f>L58+M56-(IF($B$21&lt;30,M56*(1-$B$21/30)+L56*$B$21/30,IF($B$21&lt;60,L56*(2-$B$21/30)+K56*($B$21/30-1),IF($B$21&lt;=90,K56*(3-$B$21/30)+J56*($B$21/30-2),0))))</x:f>
        <x:v>164531.25</x:v>
      </x:c>
      <x:c r="N58" s="41" t="n">
        <x:f>M58+N56-(IF($B$21&lt;30,N56*(1-$B$21/30)+M56*$B$21/30,IF($B$21&lt;60,M56*(2-$B$21/30)+L56*($B$21/30-1),IF($B$21&lt;=90,L56*(3-$B$21/30)+K56*($B$21/30-2),0))))</x:f>
        <x:v>160875</x:v>
      </x:c>
      <x:c r="O58" s="41" t="n">
        <x:f>N58+O56-(IF($B$21&lt;30,O56*(1-$B$21/30)+N56*$B$21/30,IF($B$21&lt;60,N56*(2-$B$21/30)+M56*($B$21/30-1),IF($B$21&lt;=90,M56*(3-$B$21/30)+L56*($B$21/30-2),0))))</x:f>
        <x:v>171843.75</x:v>
      </x:c>
    </x:row>
    <x:row r="59" ht="20" customHeight="1">
      <x:c r="A59" s="60" t="str">
        <x:v>Operating cash before interest/tax</x:v>
      </x:c>
      <x:c r="B59" s="60"/>
      <x:c r="C59" s="60"/>
      <x:c r="D59" s="61" t="n">
        <x:f>D51-D57-D43</x:f>
        <x:v>-177812.49999999997</x:v>
      </x:c>
      <x:c r="E59" s="61" t="n">
        <x:f>E51-E57-E43</x:f>
        <x:v>-79906.24999999994</x:v>
      </x:c>
      <x:c r="F59" s="61" t="n">
        <x:f>F51-F57-F43</x:f>
        <x:v>-9312.5</x:v>
      </x:c>
      <x:c r="G59" s="61" t="n">
        <x:f>G51-G57-G43</x:f>
        <x:v>33468.75</x:v>
      </x:c>
      <x:c r="H59" s="61" t="n">
        <x:f>H51-H57-H43</x:f>
        <x:v>64906.25</x:v>
      </x:c>
      <x:c r="I59" s="61" t="n">
        <x:f>I51-I57-I43</x:f>
        <x:v>83562.5</x:v>
      </x:c>
      <x:c r="J59" s="61" t="n">
        <x:f>J51-J57-J43</x:f>
        <x:v>96343.75</x:v>
      </x:c>
      <x:c r="K59" s="61" t="n">
        <x:f>K51-K57-K43</x:f>
        <x:v>102218.75000000012</x:v>
      </x:c>
      <x:c r="L59" s="61" t="n">
        <x:f>L51-L57-L43</x:f>
        <x:v>111343.75000000012</x:v>
      </x:c>
      <x:c r="M59" s="61" t="n">
        <x:f>M51-M57-M43</x:f>
        <x:v>117218.75000000012</x:v>
      </x:c>
      <x:c r="N59" s="61" t="n">
        <x:f>N51-N57-N43</x:f>
        <x:v>126343.75000000012</x:v>
      </x:c>
      <x:c r="O59" s="61" t="n">
        <x:f>O51-O57-O43</x:f>
        <x:v>132218.75000000012</x:v>
      </x:c>
    </x:row>
    <x:row r="60" ht="20" customHeight="1">
      <x:c r="A60" s="4" t="str">
        <x:v>Net tax cash payment (editable)</x:v>
      </x:c>
      <x:c r="B60" s="4"/>
      <x:c r="C60" s="4"/>
      <x:c r="D60" s="53" t="n">
        <x:v>0</x:v>
      </x:c>
      <x:c r="E60" s="53" t="n">
        <x:v>0</x:v>
      </x:c>
      <x:c r="F60" s="53" t="n">
        <x:v>0</x:v>
      </x:c>
      <x:c r="G60" s="53" t="n">
        <x:v>0</x:v>
      </x:c>
      <x:c r="H60" s="53" t="n">
        <x:v>0</x:v>
      </x:c>
      <x:c r="I60" s="53" t="n">
        <x:v>0</x:v>
      </x:c>
      <x:c r="J60" s="53" t="n">
        <x:v>0</x:v>
      </x:c>
      <x:c r="K60" s="53" t="n">
        <x:v>0</x:v>
      </x:c>
      <x:c r="L60" s="53" t="n">
        <x:v>0</x:v>
      </x:c>
      <x:c r="M60" s="53" t="n">
        <x:v>0</x:v>
      </x:c>
      <x:c r="N60" s="53" t="n">
        <x:v>0</x:v>
      </x:c>
      <x:c r="O60" s="53" t="n">
        <x:v>0</x:v>
      </x:c>
    </x:row>
    <x:row r="61" ht="20" customHeight="1">
      <x:c r="A61" s="4" t="str">
        <x:v>Further capex cash (editable)</x:v>
      </x:c>
      <x:c r="B61" s="4"/>
      <x:c r="C61" s="4"/>
      <x:c r="D61" s="53" t="n">
        <x:v>0</x:v>
      </x:c>
      <x:c r="E61" s="53" t="n">
        <x:v>0</x:v>
      </x:c>
      <x:c r="F61" s="53" t="n">
        <x:v>0</x:v>
      </x:c>
      <x:c r="G61" s="53" t="n">
        <x:v>0</x:v>
      </x:c>
      <x:c r="H61" s="53" t="n">
        <x:v>0</x:v>
      </x:c>
      <x:c r="I61" s="53" t="n">
        <x:v>0</x:v>
      </x:c>
      <x:c r="J61" s="53" t="n">
        <x:v>0</x:v>
      </x:c>
      <x:c r="K61" s="53" t="n">
        <x:v>0</x:v>
      </x:c>
      <x:c r="L61" s="53" t="n">
        <x:v>0</x:v>
      </x:c>
      <x:c r="M61" s="53" t="n">
        <x:v>0</x:v>
      </x:c>
      <x:c r="N61" s="53" t="n">
        <x:v>0</x:v>
      </x:c>
      <x:c r="O61" s="53" t="n">
        <x:v>0</x:v>
      </x:c>
    </x:row>
    <x:row r="62" ht="20" customHeight="1">
      <x:c r="A62" s="60" t="str">
        <x:v>Net cash after financing</x:v>
      </x:c>
      <x:c r="B62" s="60"/>
      <x:c r="C62" s="60"/>
      <x:c r="D62" s="61" t="n">
        <x:f>D59-D47-D48-D60-D61</x:f>
        <x:v>-177812.49999999997</x:v>
      </x:c>
      <x:c r="E62" s="61" t="n">
        <x:f>E59-E47-E48-E60-E61</x:f>
        <x:v>-79906.24999999994</x:v>
      </x:c>
      <x:c r="F62" s="61" t="n">
        <x:f>F59-F47-F48-F60-F61</x:f>
        <x:v>-9312.5</x:v>
      </x:c>
      <x:c r="G62" s="61" t="n">
        <x:f>G59-G47-G48-G60-G61</x:f>
        <x:v>33468.75</x:v>
      </x:c>
      <x:c r="H62" s="61" t="n">
        <x:f>H59-H47-H48-H60-H61</x:f>
        <x:v>64906.25</x:v>
      </x:c>
      <x:c r="I62" s="61" t="n">
        <x:f>I59-I47-I48-I60-I61</x:f>
        <x:v>83562.5</x:v>
      </x:c>
      <x:c r="J62" s="61" t="n">
        <x:f>J59-J47-J48-J60-J61</x:f>
        <x:v>96343.75</x:v>
      </x:c>
      <x:c r="K62" s="61" t="n">
        <x:f>K59-K47-K48-K60-K61</x:f>
        <x:v>102218.75000000012</x:v>
      </x:c>
      <x:c r="L62" s="61" t="n">
        <x:f>L59-L47-L48-L60-L61</x:f>
        <x:v>111343.75000000012</x:v>
      </x:c>
      <x:c r="M62" s="61" t="n">
        <x:f>M59-M47-M48-M60-M61</x:f>
        <x:v>117218.75000000012</x:v>
      </x:c>
      <x:c r="N62" s="61" t="n">
        <x:f>N59-N47-N48-N60-N61</x:f>
        <x:v>126343.75000000012</x:v>
      </x:c>
      <x:c r="O62" s="61" t="n">
        <x:f>O59-O47-O48-O60-O61</x:f>
        <x:v>132218.75000000012</x:v>
      </x:c>
    </x:row>
    <x:row r="63" ht="20" customHeight="1">
      <x:c r="A63" s="4" t="str">
        <x:v>Opening cash</x:v>
      </x:c>
      <x:c r="B63" s="4"/>
      <x:c r="C63" s="4"/>
      <x:c r="D63" s="41" t="n">
        <x:f>$B$18</x:f>
        <x:v>650000</x:v>
      </x:c>
      <x:c r="E63" s="41" t="n">
        <x:f>D64</x:f>
        <x:v>472187.5</x:v>
      </x:c>
      <x:c r="F63" s="41" t="n">
        <x:f>E64</x:f>
        <x:v>392281.25000000006</x:v>
      </x:c>
      <x:c r="G63" s="41" t="n">
        <x:f>F64</x:f>
        <x:v>382968.75000000006</x:v>
      </x:c>
      <x:c r="H63" s="41" t="n">
        <x:f>G64</x:f>
        <x:v>416437.50000000006</x:v>
      </x:c>
      <x:c r="I63" s="41" t="n">
        <x:f>H64</x:f>
        <x:v>481343.75000000006</x:v>
      </x:c>
      <x:c r="J63" s="41" t="n">
        <x:f>I64</x:f>
        <x:v>564906.25</x:v>
      </x:c>
      <x:c r="K63" s="41" t="n">
        <x:f>J64</x:f>
        <x:v>661250</x:v>
      </x:c>
      <x:c r="L63" s="41" t="n">
        <x:f>K64</x:f>
        <x:v>763468.7500000001</x:v>
      </x:c>
      <x:c r="M63" s="41" t="n">
        <x:f>L64</x:f>
        <x:v>874812.5000000002</x:v>
      </x:c>
      <x:c r="N63" s="41" t="n">
        <x:f>M64</x:f>
        <x:v>992031.2500000003</x:v>
      </x:c>
      <x:c r="O63" s="41" t="n">
        <x:f>N64</x:f>
        <x:v>1118375.0000000005</x:v>
      </x:c>
    </x:row>
    <x:row r="64" ht="20" customHeight="1">
      <x:c r="A64" s="60" t="str">
        <x:v>Closing cash</x:v>
      </x:c>
      <x:c r="B64" s="60"/>
      <x:c r="C64" s="60"/>
      <x:c r="D64" s="61" t="n">
        <x:f>D63+D62</x:f>
        <x:v>472187.5</x:v>
      </x:c>
      <x:c r="E64" s="61" t="n">
        <x:f>E63+E62</x:f>
        <x:v>392281.25000000006</x:v>
      </x:c>
      <x:c r="F64" s="61" t="n">
        <x:f>F63+F62</x:f>
        <x:v>382968.75000000006</x:v>
      </x:c>
      <x:c r="G64" s="61" t="n">
        <x:f>G63+G62</x:f>
        <x:v>416437.50000000006</x:v>
      </x:c>
      <x:c r="H64" s="61" t="n">
        <x:f>H63+H62</x:f>
        <x:v>481343.75000000006</x:v>
      </x:c>
      <x:c r="I64" s="61" t="n">
        <x:f>I63+I62</x:f>
        <x:v>564906.25</x:v>
      </x:c>
      <x:c r="J64" s="61" t="n">
        <x:f>J63+J62</x:f>
        <x:v>661250</x:v>
      </x:c>
      <x:c r="K64" s="61" t="n">
        <x:f>K63+K62</x:f>
        <x:v>763468.7500000001</x:v>
      </x:c>
      <x:c r="L64" s="61" t="n">
        <x:f>L63+L62</x:f>
        <x:v>874812.5000000002</x:v>
      </x:c>
      <x:c r="M64" s="61" t="n">
        <x:f>M63+M62</x:f>
        <x:v>992031.2500000003</x:v>
      </x:c>
      <x:c r="N64" s="61" t="n">
        <x:f>N63+N62</x:f>
        <x:v>1118375.0000000005</x:v>
      </x:c>
      <x:c r="O64" s="61" t="n">
        <x:f>O63+O62</x:f>
        <x:v>1250593.7500000005</x:v>
      </x:c>
    </x:row>
    <x:row r="65" ht="20" customHeight="1">
      <x:c r="A65" s="60" t="str">
        <x:v>Additional funding if closing cash &lt; 0</x:v>
      </x:c>
      <x:c r="B65" s="60"/>
      <x:c r="C65" s="60"/>
      <x:c r="D65" s="61" t="n">
        <x:f>MAX(0,-D64)</x:f>
        <x:v>0</x:v>
      </x:c>
      <x:c r="E65" s="61" t="n">
        <x:f>MAX(0,-E64)</x:f>
        <x:v>0</x:v>
      </x:c>
      <x:c r="F65" s="61" t="n">
        <x:f>MAX(0,-F64)</x:f>
        <x:v>0</x:v>
      </x:c>
      <x:c r="G65" s="61" t="n">
        <x:f>MAX(0,-G64)</x:f>
        <x:v>0</x:v>
      </x:c>
      <x:c r="H65" s="61" t="n">
        <x:f>MAX(0,-H64)</x:f>
        <x:v>0</x:v>
      </x:c>
      <x:c r="I65" s="61" t="n">
        <x:f>MAX(0,-I64)</x:f>
        <x:v>0</x:v>
      </x:c>
      <x:c r="J65" s="61" t="n">
        <x:f>MAX(0,-J64)</x:f>
        <x:v>0</x:v>
      </x:c>
      <x:c r="K65" s="61" t="n">
        <x:f>MAX(0,-K64)</x:f>
        <x:v>0</x:v>
      </x:c>
      <x:c r="L65" s="61" t="n">
        <x:f>MAX(0,-L64)</x:f>
        <x:v>0</x:v>
      </x:c>
      <x:c r="M65" s="61" t="n">
        <x:f>MAX(0,-M64)</x:f>
        <x:v>0</x:v>
      </x:c>
      <x:c r="N65" s="61" t="n">
        <x:f>MAX(0,-N64)</x:f>
        <x:v>0</x:v>
      </x:c>
      <x:c r="O65" s="61" t="n">
        <x:f>MAX(0,-O64)</x:f>
        <x:v>0</x:v>
      </x:c>
    </x:row>
    <x:row r="66" ht="32" customHeight="1">
      <x:c r="A66" s="4" t="str">
        <x:v>Input / capacity / debt check</x:v>
      </x:c>
      <x:c r="B66" s="4"/>
      <x:c r="C66" s="4"/>
      <x:c r="D66" s="4" t="str">
        <x:f>IF(COUNT($B$8:$B$28,D35,D48,D60,D61)&lt;25,"INVALID INPUT",IF(OR($B$8&lt;0,$B$9&lt;=0,$B$10&lt;0,$B$11&lt;0,$B$12&lt;=0,$B$13&lt;0,$B$13&gt;1,$B$14&lt;0,$B$14&gt;1,MIN($B$15:$B$21)&lt;0,$B$19&gt;90,$B$20&gt;90,$B$21&gt;90,$B$22&lt;=0,$B$23&lt;0,$B$23&gt;SUM($B$15:$B$18),$B$24&lt;0,MIN($B$25:$B$28)&lt;0,D35&lt;0,D48&lt;0,D48&gt;D46,D61&lt;0,D55&lt;0),"INVALID INPUT",IF($B$73&lt;=0,"NOT VIABLE",IF(OR(D36&gt;D37,$B$74&gt;$B$12),"CAPACITY",IF(D64&lt;0,"FUNDING GAP","OK")))))</x:f>
        <x:v>OK</x:v>
      </x:c>
      <x:c r="E66" s="4" t="str">
        <x:f>IF(COUNT($B$8:$B$28,E35,E48,E60,E61)&lt;25,"INVALID INPUT",IF(OR($B$8&lt;0,$B$9&lt;=0,$B$10&lt;0,$B$11&lt;0,$B$12&lt;=0,$B$13&lt;0,$B$13&gt;1,$B$14&lt;0,$B$14&gt;1,MIN($B$15:$B$21)&lt;0,$B$19&gt;90,$B$20&gt;90,$B$21&gt;90,$B$22&lt;=0,$B$23&lt;0,$B$23&gt;SUM($B$15:$B$18),$B$24&lt;0,MIN($B$25:$B$28)&lt;0,E35&lt;0,E48&lt;0,E48&gt;E46,E61&lt;0,E55&lt;0),"INVALID INPUT",IF($B$73&lt;=0,"NOT VIABLE",IF(OR(E36&gt;E37,$B$74&gt;$B$12),"CAPACITY",IF(E64&lt;0,"FUNDING GAP","OK")))))</x:f>
        <x:v>OK</x:v>
      </x:c>
      <x:c r="F66" s="4" t="str">
        <x:f>IF(COUNT($B$8:$B$28,F35,F48,F60,F61)&lt;25,"INVALID INPUT",IF(OR($B$8&lt;0,$B$9&lt;=0,$B$10&lt;0,$B$11&lt;0,$B$12&lt;=0,$B$13&lt;0,$B$13&gt;1,$B$14&lt;0,$B$14&gt;1,MIN($B$15:$B$21)&lt;0,$B$19&gt;90,$B$20&gt;90,$B$21&gt;90,$B$22&lt;=0,$B$23&lt;0,$B$23&gt;SUM($B$15:$B$18),$B$24&lt;0,MIN($B$25:$B$28)&lt;0,F35&lt;0,F48&lt;0,F48&gt;F46,F61&lt;0,F55&lt;0),"INVALID INPUT",IF($B$73&lt;=0,"NOT VIABLE",IF(OR(F36&gt;F37,$B$74&gt;$B$12),"CAPACITY",IF(F64&lt;0,"FUNDING GAP","OK")))))</x:f>
        <x:v>OK</x:v>
      </x:c>
      <x:c r="G66" s="4" t="str">
        <x:f>IF(COUNT($B$8:$B$28,G35,G48,G60,G61)&lt;25,"INVALID INPUT",IF(OR($B$8&lt;0,$B$9&lt;=0,$B$10&lt;0,$B$11&lt;0,$B$12&lt;=0,$B$13&lt;0,$B$13&gt;1,$B$14&lt;0,$B$14&gt;1,MIN($B$15:$B$21)&lt;0,$B$19&gt;90,$B$20&gt;90,$B$21&gt;90,$B$22&lt;=0,$B$23&lt;0,$B$23&gt;SUM($B$15:$B$18),$B$24&lt;0,MIN($B$25:$B$28)&lt;0,G35&lt;0,G48&lt;0,G48&gt;G46,G61&lt;0,G55&lt;0),"INVALID INPUT",IF($B$73&lt;=0,"NOT VIABLE",IF(OR(G36&gt;G37,$B$74&gt;$B$12),"CAPACITY",IF(G64&lt;0,"FUNDING GAP","OK")))))</x:f>
        <x:v>OK</x:v>
      </x:c>
      <x:c r="H66" s="4" t="str">
        <x:f>IF(COUNT($B$8:$B$28,H35,H48,H60,H61)&lt;25,"INVALID INPUT",IF(OR($B$8&lt;0,$B$9&lt;=0,$B$10&lt;0,$B$11&lt;0,$B$12&lt;=0,$B$13&lt;0,$B$13&gt;1,$B$14&lt;0,$B$14&gt;1,MIN($B$15:$B$21)&lt;0,$B$19&gt;90,$B$20&gt;90,$B$21&gt;90,$B$22&lt;=0,$B$23&lt;0,$B$23&gt;SUM($B$15:$B$18),$B$24&lt;0,MIN($B$25:$B$28)&lt;0,H35&lt;0,H48&lt;0,H48&gt;H46,H61&lt;0,H55&lt;0),"INVALID INPUT",IF($B$73&lt;=0,"NOT VIABLE",IF(OR(H36&gt;H37,$B$74&gt;$B$12),"CAPACITY",IF(H64&lt;0,"FUNDING GAP","OK")))))</x:f>
        <x:v>OK</x:v>
      </x:c>
      <x:c r="I66" s="4" t="str">
        <x:f>IF(COUNT($B$8:$B$28,I35,I48,I60,I61)&lt;25,"INVALID INPUT",IF(OR($B$8&lt;0,$B$9&lt;=0,$B$10&lt;0,$B$11&lt;0,$B$12&lt;=0,$B$13&lt;0,$B$13&gt;1,$B$14&lt;0,$B$14&gt;1,MIN($B$15:$B$21)&lt;0,$B$19&gt;90,$B$20&gt;90,$B$21&gt;90,$B$22&lt;=0,$B$23&lt;0,$B$23&gt;SUM($B$15:$B$18),$B$24&lt;0,MIN($B$25:$B$28)&lt;0,I35&lt;0,I48&lt;0,I48&gt;I46,I61&lt;0,I55&lt;0),"INVALID INPUT",IF($B$73&lt;=0,"NOT VIABLE",IF(OR(I36&gt;I37,$B$74&gt;$B$12),"CAPACITY",IF(I64&lt;0,"FUNDING GAP","OK")))))</x:f>
        <x:v>OK</x:v>
      </x:c>
      <x:c r="J66" s="4" t="str">
        <x:f>IF(COUNT($B$8:$B$28,J35,J48,J60,J61)&lt;25,"INVALID INPUT",IF(OR($B$8&lt;0,$B$9&lt;=0,$B$10&lt;0,$B$11&lt;0,$B$12&lt;=0,$B$13&lt;0,$B$13&gt;1,$B$14&lt;0,$B$14&gt;1,MIN($B$15:$B$21)&lt;0,$B$19&gt;90,$B$20&gt;90,$B$21&gt;90,$B$22&lt;=0,$B$23&lt;0,$B$23&gt;SUM($B$15:$B$18),$B$24&lt;0,MIN($B$25:$B$28)&lt;0,J35&lt;0,J48&lt;0,J48&gt;J46,J61&lt;0,J55&lt;0),"INVALID INPUT",IF($B$73&lt;=0,"NOT VIABLE",IF(OR(J36&gt;J37,$B$74&gt;$B$12),"CAPACITY",IF(J64&lt;0,"FUNDING GAP","OK")))))</x:f>
        <x:v>OK</x:v>
      </x:c>
      <x:c r="K66" s="4" t="str">
        <x:f>IF(COUNT($B$8:$B$28,K35,K48,K60,K61)&lt;25,"INVALID INPUT",IF(OR($B$8&lt;0,$B$9&lt;=0,$B$10&lt;0,$B$11&lt;0,$B$12&lt;=0,$B$13&lt;0,$B$13&gt;1,$B$14&lt;0,$B$14&gt;1,MIN($B$15:$B$21)&lt;0,$B$19&gt;90,$B$20&gt;90,$B$21&gt;90,$B$22&lt;=0,$B$23&lt;0,$B$23&gt;SUM($B$15:$B$18),$B$24&lt;0,MIN($B$25:$B$28)&lt;0,K35&lt;0,K48&lt;0,K48&gt;K46,K61&lt;0,K55&lt;0),"INVALID INPUT",IF($B$73&lt;=0,"NOT VIABLE",IF(OR(K36&gt;K37,$B$74&gt;$B$12),"CAPACITY",IF(K64&lt;0,"FUNDING GAP","OK")))))</x:f>
        <x:v>OK</x:v>
      </x:c>
      <x:c r="L66" s="4" t="str">
        <x:f>IF(COUNT($B$8:$B$28,L35,L48,L60,L61)&lt;25,"INVALID INPUT",IF(OR($B$8&lt;0,$B$9&lt;=0,$B$10&lt;0,$B$11&lt;0,$B$12&lt;=0,$B$13&lt;0,$B$13&gt;1,$B$14&lt;0,$B$14&gt;1,MIN($B$15:$B$21)&lt;0,$B$19&gt;90,$B$20&gt;90,$B$21&gt;90,$B$22&lt;=0,$B$23&lt;0,$B$23&gt;SUM($B$15:$B$18),$B$24&lt;0,MIN($B$25:$B$28)&lt;0,L35&lt;0,L48&lt;0,L48&gt;L46,L61&lt;0,L55&lt;0),"INVALID INPUT",IF($B$73&lt;=0,"NOT VIABLE",IF(OR(L36&gt;L37,$B$74&gt;$B$12),"CAPACITY",IF(L64&lt;0,"FUNDING GAP","OK")))))</x:f>
        <x:v>OK</x:v>
      </x:c>
      <x:c r="M66" s="4" t="str">
        <x:f>IF(COUNT($B$8:$B$28,M35,M48,M60,M61)&lt;25,"INVALID INPUT",IF(OR($B$8&lt;0,$B$9&lt;=0,$B$10&lt;0,$B$11&lt;0,$B$12&lt;=0,$B$13&lt;0,$B$13&gt;1,$B$14&lt;0,$B$14&gt;1,MIN($B$15:$B$21)&lt;0,$B$19&gt;90,$B$20&gt;90,$B$21&gt;90,$B$22&lt;=0,$B$23&lt;0,$B$23&gt;SUM($B$15:$B$18),$B$24&lt;0,MIN($B$25:$B$28)&lt;0,M35&lt;0,M48&lt;0,M48&gt;M46,M61&lt;0,M55&lt;0),"INVALID INPUT",IF($B$73&lt;=0,"NOT VIABLE",IF(OR(M36&gt;M37,$B$74&gt;$B$12),"CAPACITY",IF(M64&lt;0,"FUNDING GAP","OK")))))</x:f>
        <x:v>OK</x:v>
      </x:c>
      <x:c r="N66" s="4" t="str">
        <x:f>IF(COUNT($B$8:$B$28,N35,N48,N60,N61)&lt;25,"INVALID INPUT",IF(OR($B$8&lt;0,$B$9&lt;=0,$B$10&lt;0,$B$11&lt;0,$B$12&lt;=0,$B$13&lt;0,$B$13&gt;1,$B$14&lt;0,$B$14&gt;1,MIN($B$15:$B$21)&lt;0,$B$19&gt;90,$B$20&gt;90,$B$21&gt;90,$B$22&lt;=0,$B$23&lt;0,$B$23&gt;SUM($B$15:$B$18),$B$24&lt;0,MIN($B$25:$B$28)&lt;0,N35&lt;0,N48&lt;0,N48&gt;N46,N61&lt;0,N55&lt;0),"INVALID INPUT",IF($B$73&lt;=0,"NOT VIABLE",IF(OR(N36&gt;N37,$B$74&gt;$B$12),"CAPACITY",IF(N64&lt;0,"FUNDING GAP","OK")))))</x:f>
        <x:v>OK</x:v>
      </x:c>
      <x:c r="O66" s="4" t="str">
        <x:f>IF(COUNT($B$8:$B$28,O35,O48,O60,O61)&lt;25,"INVALID INPUT",IF(OR($B$8&lt;0,$B$9&lt;=0,$B$10&lt;0,$B$11&lt;0,$B$12&lt;=0,$B$13&lt;0,$B$13&gt;1,$B$14&lt;0,$B$14&gt;1,MIN($B$15:$B$21)&lt;0,$B$19&gt;90,$B$20&gt;90,$B$21&gt;90,$B$22&lt;=0,$B$23&lt;0,$B$23&gt;SUM($B$15:$B$18),$B$24&lt;0,MIN($B$25:$B$28)&lt;0,O35&lt;0,O48&lt;0,O48&gt;O46,O61&lt;0,O55&lt;0),"INVALID INPUT",IF($B$73&lt;=0,"NOT VIABLE",IF(OR(O36&gt;O37,$B$74&gt;$B$12),"CAPACITY",IF(O64&lt;0,"FUNDING GAP","OK")))))</x:f>
        <x:v>OK</x:v>
      </x:c>
    </x:row>
    <x:row r="67" ht="20" customHeight="1">
      <x:c r="A67" s="4"/>
      <x:c r="B67" s="4"/>
      <x:c r="C67" s="4"/>
      <x:c r="D67" s="2"/>
      <x:c r="E67" s="2"/>
      <x:c r="F67" s="2"/>
      <x:c r="G67" s="2"/>
      <x:c r="H67" s="2"/>
      <x:c r="I67" s="2"/>
      <x:c r="J67" s="2"/>
      <x:c r="K67" s="2"/>
      <x:c r="L67" s="2"/>
      <x:c r="M67" s="2"/>
      <x:c r="N67" s="2"/>
      <x:c r="O67" s="2"/>
    </x:row>
    <x:row r="68" ht="20" customHeight="1">
      <x:c r="A68" s="4"/>
      <x:c r="B68" s="4"/>
      <x:c r="C68" s="4"/>
      <x:c r="D68" s="2"/>
      <x:c r="E68" s="2"/>
      <x:c r="F68" s="2"/>
      <x:c r="G68" s="2"/>
      <x:c r="H68" s="2"/>
      <x:c r="I68" s="2"/>
      <x:c r="J68" s="2"/>
      <x:c r="K68" s="2"/>
      <x:c r="L68" s="2"/>
      <x:c r="M68" s="2"/>
      <x:c r="N68" s="2"/>
      <x:c r="O68" s="2"/>
    </x:row>
    <x:row r="69" ht="20" customHeight="1">
      <x:c r="A69" s="22" t="str">
        <x:v>MODEL BOUNDARIES AND STARTUP FUNDING</x:v>
      </x:c>
      <x:c r="B69" s="22"/>
      <x:c r="C69" s="22"/>
      <x:c r="D69" s="36"/>
      <x:c r="E69" s="36"/>
      <x:c r="F69" s="36"/>
      <x:c r="G69" s="36"/>
      <x:c r="H69" s="36"/>
      <x:c r="I69" s="36"/>
      <x:c r="J69" s="36"/>
      <x:c r="K69" s="36"/>
      <x:c r="L69" s="36"/>
      <x:c r="M69" s="36"/>
      <x:c r="N69" s="36"/>
      <x:c r="O69" s="36"/>
    </x:row>
    <x:row r="70" ht="20" customHeight="1">
      <x:c r="A70" s="4"/>
      <x:c r="B70" s="4"/>
      <x:c r="C70" s="4"/>
      <x:c r="D70" s="2"/>
      <x:c r="E70" s="2"/>
      <x:c r="F70" s="2"/>
      <x:c r="G70" s="2"/>
      <x:c r="H70" s="2"/>
      <x:c r="I70" s="2"/>
      <x:c r="J70" s="2"/>
      <x:c r="K70" s="2"/>
      <x:c r="L70" s="2"/>
      <x:c r="M70" s="2"/>
      <x:c r="N70" s="2"/>
      <x:c r="O70" s="2"/>
    </x:row>
    <x:row r="71" ht="28" customHeight="1">
      <x:c r="A71" s="4" t="str">
        <x:v>Initial funding before debt</x:v>
      </x:c>
      <x:c r="B71" s="66" t="n">
        <x:f>SUM(B15:B18)</x:f>
        <x:v>1760000</x:v>
      </x:c>
      <x:c r="C71" s="4"/>
      <x:c r="D71" s="2"/>
      <x:c r="E71" s="2"/>
      <x:c r="F71" s="2"/>
      <x:c r="G71" s="2"/>
      <x:c r="H71" s="2"/>
      <x:c r="I71" s="2"/>
      <x:c r="J71" s="2"/>
      <x:c r="K71" s="2"/>
      <x:c r="L71" s="2"/>
      <x:c r="M71" s="2"/>
      <x:c r="N71" s="2"/>
      <x:c r="O71" s="2"/>
    </x:row>
    <x:row r="72" ht="28" customHeight="1">
      <x:c r="A72" s="4" t="str">
        <x:v>Equity funding at startup</x:v>
      </x:c>
      <x:c r="B72" s="66" t="n">
        <x:f>MAX(0,SUM(B15:B18)-B23)</x:f>
        <x:v>1760000</x:v>
      </x:c>
      <x:c r="C72" s="4"/>
      <x:c r="D72" s="2"/>
      <x:c r="E72" s="2"/>
      <x:c r="F72" s="2"/>
      <x:c r="G72" s="2"/>
      <x:c r="H72" s="2"/>
      <x:c r="I72" s="2"/>
      <x:c r="J72" s="2"/>
      <x:c r="K72" s="2"/>
      <x:c r="L72" s="2"/>
      <x:c r="M72" s="2"/>
      <x:c r="N72" s="2"/>
      <x:c r="O72" s="2"/>
    </x:row>
    <x:row r="73" ht="28" customHeight="1">
      <x:c r="A73" s="4" t="str">
        <x:v>Steady monthly unit contribution</x:v>
      </x:c>
      <x:c r="B73" s="66" t="n">
        <x:f>B9*B26-B10*B27</x:f>
        <x:v>1000</x:v>
      </x:c>
      <x:c r="C73" s="4"/>
      <x:c r="D73" s="2"/>
      <x:c r="E73" s="2"/>
      <x:c r="F73" s="2"/>
      <x:c r="G73" s="2"/>
      <x:c r="H73" s="2"/>
      <x:c r="I73" s="2"/>
      <x:c r="J73" s="2"/>
      <x:c r="K73" s="2"/>
      <x:c r="L73" s="2"/>
      <x:c r="M73" s="2"/>
      <x:c r="N73" s="2"/>
      <x:c r="O73" s="2"/>
    </x:row>
    <x:row r="74" ht="32" customHeight="1">
      <x:c r="A74" s="4" t="str">
        <x:v>Steady operating break-even units</x:v>
      </x:c>
      <x:c r="B74" s="66" t="n">
        <x:f>IF(B9*B26-B10*B27&gt;0,ROUNDUP(B11*B28/(B9*B26-B10*B27),0),"NOT VIABLE")</x:f>
        <x:v>200</x:v>
      </x:c>
      <x:c r="C74" s="4"/>
      <x:c r="D74" s="2"/>
      <x:c r="E74" s="2"/>
      <x:c r="F74" s="2"/>
      <x:c r="G74" s="2"/>
      <x:c r="H74" s="2"/>
      <x:c r="I74" s="2"/>
      <x:c r="J74" s="2"/>
      <x:c r="K74" s="2"/>
      <x:c r="L74" s="2"/>
      <x:c r="M74" s="2"/>
      <x:c r="N74" s="2"/>
      <x:c r="O74" s="2"/>
    </x:row>
    <x:row r="75" ht="28" customHeight="1">
      <x:c r="A75" s="4" t="str">
        <x:v>Year-one operating cash profit</x:v>
      </x:c>
      <x:c r="B75" s="66" t="n">
        <x:f>SUM(D44:O44)</x:f>
        <x:v>975000</x:v>
      </x:c>
      <x:c r="C75" s="4"/>
      <x:c r="D75" s="2"/>
      <x:c r="E75" s="2"/>
      <x:c r="F75" s="2"/>
      <x:c r="G75" s="2"/>
      <x:c r="H75" s="2"/>
      <x:c r="I75" s="2"/>
      <x:c r="J75" s="2"/>
      <x:c r="K75" s="2"/>
      <x:c r="L75" s="2"/>
      <x:c r="M75" s="2"/>
      <x:c r="N75" s="2"/>
      <x:c r="O75" s="2"/>
    </x:row>
    <x:row r="76" ht="28" customHeight="1">
      <x:c r="A76" s="4" t="str">
        <x:v>Year-one minimum closing cash</x:v>
      </x:c>
      <x:c r="B76" s="66" t="n">
        <x:f>MIN(D64:O64)</x:f>
        <x:v>382968.75000000006</x:v>
      </x:c>
      <x:c r="C76" s="4"/>
      <x:c r="D76" s="2"/>
      <x:c r="E76" s="2"/>
      <x:c r="F76" s="2"/>
      <x:c r="G76" s="2"/>
      <x:c r="H76" s="2"/>
      <x:c r="I76" s="2"/>
      <x:c r="J76" s="2"/>
      <x:c r="K76" s="2"/>
      <x:c r="L76" s="2"/>
      <x:c r="M76" s="2"/>
      <x:c r="N76" s="2"/>
      <x:c r="O76" s="2"/>
    </x:row>
    <x:row r="77" ht="28" customHeight="1">
      <x:c r="A77" s="4" t="str">
        <x:v>Additional opening liquidity needed</x:v>
      </x:c>
      <x:c r="B77" s="66" t="n">
        <x:f>MAX(0,-MIN(D64:O64))</x:f>
        <x:v>0</x:v>
      </x:c>
      <x:c r="C77" s="4"/>
      <x:c r="D77" s="2"/>
      <x:c r="E77" s="2"/>
      <x:c r="F77" s="2"/>
      <x:c r="G77" s="2"/>
      <x:c r="H77" s="2"/>
      <x:c r="I77" s="2"/>
      <x:c r="J77" s="2"/>
      <x:c r="K77" s="2"/>
      <x:c r="L77" s="2"/>
      <x:c r="M77" s="2"/>
      <x:c r="N77" s="2"/>
      <x:c r="O77" s="2"/>
    </x:row>
    <x:row r="78" ht="32" customHeight="1">
      <x:c r="A78" s="116" t="str">
        <x:v>Decision from this model</x:v>
      </x:c>
      <x:c r="B78" s="116" t="str">
        <x:f>IF(COUNTIF(D66:O66,"INVALID INPUT")&gt;0,"INVALID INPUT",IF(COUNTIF(D66:O66,"NOT VIABLE")&gt;0,"NOT VIABLE",IF(COUNTIF(D66:O66,"CAPACITY")&gt;0,"CAPACITY",IF(COUNTIF(D66:O66,"FUNDING GAP")&gt;0,"FUNDING GAP","ILLUSTRATIVE"))))</x:f>
        <x:v>ILLUSTRATIVE</x:v>
      </x:c>
      <x:c r="C78" s="4"/>
      <x:c r="D78" s="2"/>
      <x:c r="E78" s="2"/>
      <x:c r="F78" s="2"/>
      <x:c r="G78" s="2"/>
      <x:c r="H78" s="2"/>
      <x:c r="I78" s="2"/>
      <x:c r="J78" s="2"/>
      <x:c r="K78" s="2"/>
      <x:c r="L78" s="2"/>
      <x:c r="M78" s="2"/>
      <x:c r="N78" s="2"/>
      <x:c r="O78" s="2"/>
    </x:row>
    <x:row r="79" ht="20" customHeight="1">
      <x:c r="A79" s="4"/>
      <x:c r="B79" s="4"/>
      <x:c r="C79" s="4"/>
      <x:c r="D79" s="2"/>
      <x:c r="E79" s="2"/>
      <x:c r="F79" s="2"/>
      <x:c r="G79" s="2"/>
      <x:c r="H79" s="2"/>
      <x:c r="I79" s="2"/>
      <x:c r="J79" s="2"/>
      <x:c r="K79" s="2"/>
      <x:c r="L79" s="2"/>
      <x:c r="M79" s="2"/>
      <x:c r="N79" s="2"/>
      <x:c r="O79" s="2"/>
    </x:row>
    <x:row r="80" ht="30" customHeight="1">
      <x:c r="A80" s="4" t="str">
        <x:v>Collections and supplier payments use a 30-day month and a 0–90-day weighted lag. Transactions are approximated as spread evenly; invoice-level forecasting may differ.</x:v>
      </x:c>
      <x:c r="B80" s="4"/>
      <x:c r="C80" s="4"/>
      <x:c r="D80" s="4"/>
      <x:c r="E80" s="4"/>
      <x:c r="F80" s="4"/>
      <x:c r="G80" s="4"/>
      <x:c r="H80" s="4"/>
      <x:c r="I80" s="4"/>
      <x:c r="J80" s="4"/>
      <x:c r="K80" s="4"/>
      <x:c r="L80" s="4"/>
      <x:c r="M80" s="4"/>
      <x:c r="N80" s="4"/>
      <x:c r="O80" s="4"/>
    </x:row>
    <x:row r="81" ht="30" customHeight="1">
      <x:c r="A81" s="4" t="str">
        <x:v>Opening receivables, stock and payables are zero. Inventory targets are funded during the forecast. Do not also add the same stock/receivable amount to startup cash costs.</x:v>
      </x:c>
      <x:c r="B81" s="4"/>
      <x:c r="C81" s="4"/>
      <x:c r="D81" s="4"/>
      <x:c r="E81" s="4"/>
      <x:c r="F81" s="4"/>
      <x:c r="G81" s="4"/>
      <x:c r="H81" s="4"/>
      <x:c r="I81" s="4"/>
      <x:c r="J81" s="4"/>
      <x:c r="K81" s="4"/>
      <x:c r="L81" s="4"/>
      <x:c r="M81" s="4"/>
      <x:c r="N81" s="4"/>
      <x:c r="O81" s="4"/>
    </x:row>
    <x:row r="82" ht="30" customHeight="1">
      <x:c r="A82" s="4" t="str">
        <x:v>Only the selected inventory share creates stock. Only the supplier-credit share is deferred. Payroll and statutory due dates need a separate actual calendar.</x:v>
      </x:c>
      <x:c r="B82" s="4"/>
      <x:c r="C82" s="4"/>
      <x:c r="D82" s="4"/>
      <x:c r="E82" s="4"/>
      <x:c r="F82" s="4"/>
      <x:c r="G82" s="4"/>
      <x:c r="H82" s="4"/>
      <x:c r="I82" s="4"/>
      <x:c r="J82" s="4"/>
      <x:c r="K82" s="4"/>
      <x:c r="L82" s="4"/>
      <x:c r="M82" s="4"/>
      <x:c r="N82" s="4"/>
      <x:c r="O82" s="4"/>
    </x:row>
    <x:row r="83" ht="30" customHeight="1">
      <x:c r="A83" s="4" t="str">
        <x:v>Pre-opening expense is funded before month 1. Depreciation covers initial assets only; later capex needs an extended depreciation schedule for accounting use.</x:v>
      </x:c>
      <x:c r="B83" s="4"/>
      <x:c r="C83" s="4"/>
      <x:c r="D83" s="4"/>
      <x:c r="E83" s="4"/>
      <x:c r="F83" s="4"/>
      <x:c r="G83" s="4"/>
      <x:c r="H83" s="4"/>
      <x:c r="I83" s="4"/>
      <x:c r="J83" s="4"/>
      <x:c r="K83" s="4"/>
      <x:c r="L83" s="4"/>
      <x:c r="M83" s="4"/>
      <x:c r="N83" s="4"/>
      <x:c r="O83" s="4"/>
    </x:row>
    <x:row r="84" ht="30" customHeight="1">
      <x:c r="A84" s="4" t="str">
        <x:v>No subsidy, customer deposit inflow, new borrowing, owner drawings or automatic funding is modelled. Add such flows explicitly in a controlled extension when evidenced.</x:v>
      </x:c>
      <x:c r="B84" s="4"/>
      <x:c r="C84" s="4"/>
      <x:c r="D84" s="4"/>
      <x:c r="E84" s="4"/>
      <x:c r="F84" s="4"/>
      <x:c r="G84" s="4"/>
      <x:c r="H84" s="4"/>
      <x:c r="I84" s="4"/>
      <x:c r="J84" s="4"/>
      <x:c r="K84" s="4"/>
      <x:c r="L84" s="4"/>
      <x:c r="M84" s="4"/>
      <x:c r="N84" s="4"/>
      <x:c r="O84" s="4"/>
    </x:row>
    <x:row r="85" ht="30" customHeight="1">
      <x:c r="A85" s="4" t="str">
        <x:v>Tax cash, principal repayment and further capex are editable monthly rows. Zero does not mean not required. A negative cash balance is an unresolved funding gap.</x:v>
      </x:c>
      <x:c r="B85" s="4"/>
      <x:c r="C85" s="4"/>
      <x:c r="D85" s="4"/>
      <x:c r="E85" s="4"/>
      <x:c r="F85" s="4"/>
      <x:c r="G85" s="4"/>
      <x:c r="H85" s="4"/>
      <x:c r="I85" s="4"/>
      <x:c r="J85" s="4"/>
      <x:c r="K85" s="4"/>
      <x:c r="L85" s="4"/>
      <x:c r="M85" s="4"/>
      <x:c r="N85" s="4"/>
      <x:c r="O85" s="4"/>
    </x:row>
    <x:row r="86" ht="38" customHeight="1">
      <x:c r="A86" s="4" t="str">
        <x:v>Any INVALID INPUT, NOT VIABLE or CAPACITY flag blocks reliance on the forecast. A FUNDING GAP requires evidenced finance. OK is a numeric check only, not tax, safety, licence or investment approval.</x:v>
      </x:c>
      <x:c r="B86" s="4"/>
      <x:c r="C86" s="4"/>
      <x:c r="D86" s="4"/>
      <x:c r="E86" s="4"/>
      <x:c r="F86" s="4"/>
      <x:c r="G86" s="4"/>
      <x:c r="H86" s="4"/>
      <x:c r="I86" s="4"/>
      <x:c r="J86" s="4"/>
      <x:c r="K86" s="4"/>
      <x:c r="L86" s="4"/>
      <x:c r="M86" s="4"/>
      <x:c r="N86" s="4"/>
      <x:c r="O86" s="4"/>
    </x:row>
    <x:row r="87" ht="20" customHeight="1">
      <x:c r="A87" s="4"/>
      <x:c r="B87" s="4"/>
      <x:c r="C87" s="4"/>
      <x:c r="D87" s="2"/>
      <x:c r="E87" s="2"/>
      <x:c r="F87" s="2"/>
      <x:c r="G87" s="2"/>
      <x:c r="H87" s="2"/>
      <x:c r="I87" s="2"/>
      <x:c r="J87" s="2"/>
      <x:c r="K87" s="2"/>
      <x:c r="L87" s="2"/>
      <x:c r="M87" s="2"/>
      <x:c r="N87" s="2"/>
      <x:c r="O87" s="2"/>
    </x:row>
    <x:row r="88" ht="38" customHeight="1">
      <x:c r="A88" s="115" t="str">
        <x:v>Initial loan must not exceed startup funding (B71). Borrowing beyond this, tax refunds (negative tax cash), owner drawings, new financing, subsidy receipts and later-asset depreciation require evidenced, separately reconciled extensions.</x:v>
      </x:c>
      <x:c r="B88" s="115"/>
      <x:c r="C88" s="115"/>
      <x:c r="D88" s="115"/>
      <x:c r="E88" s="115"/>
      <x:c r="F88" s="115"/>
      <x:c r="G88" s="115"/>
      <x:c r="H88" s="115"/>
      <x:c r="I88" s="115"/>
      <x:c r="J88" s="115"/>
      <x:c r="K88" s="115"/>
      <x:c r="L88" s="115"/>
      <x:c r="M88" s="115"/>
      <x:c r="N88" s="115"/>
      <x:c r="O88" s="115"/>
    </x:row>
    <x:row r="89" ht="20" customHeight="1">
      <x:c r="A89" s="4"/>
      <x:c r="B89" s="4"/>
      <x:c r="C89" s="4"/>
      <x:c r="D89" s="2"/>
      <x:c r="E89" s="2"/>
      <x:c r="F89" s="2"/>
      <x:c r="G89" s="2"/>
      <x:c r="H89" s="2"/>
      <x:c r="I89" s="2"/>
      <x:c r="J89" s="2"/>
      <x:c r="K89" s="2"/>
      <x:c r="L89" s="2"/>
      <x:c r="M89" s="2"/>
      <x:c r="N89" s="2"/>
      <x:c r="O89" s="2"/>
    </x:row>
    <x:row r="90" ht="20" customHeight="1">
      <x:c r="A90" s="4"/>
      <x:c r="B90" s="4"/>
      <x:c r="C90" s="4"/>
      <x:c r="D90" s="2"/>
      <x:c r="E90" s="2"/>
      <x:c r="F90" s="2"/>
      <x:c r="G90" s="2"/>
      <x:c r="H90" s="2"/>
      <x:c r="I90" s="2"/>
      <x:c r="J90" s="2"/>
      <x:c r="K90" s="2"/>
      <x:c r="L90" s="2"/>
      <x:c r="M90" s="2"/>
      <x:c r="N90" s="2"/>
      <x:c r="O90" s="2"/>
    </x:row>
    <x:row r="91" ht="20" customHeight="1">
      <x:c r="A91" s="4"/>
      <x:c r="B91" s="4"/>
      <x:c r="C91" s="4"/>
      <x:c r="D91" s="2"/>
      <x:c r="E91" s="2"/>
      <x:c r="F91" s="2"/>
      <x:c r="G91" s="2"/>
      <x:c r="H91" s="2"/>
      <x:c r="I91" s="2"/>
      <x:c r="J91" s="2"/>
      <x:c r="K91" s="2"/>
      <x:c r="L91" s="2"/>
      <x:c r="M91" s="2"/>
      <x:c r="N91" s="2"/>
      <x:c r="O91" s="2"/>
    </x:row>
    <x:row r="92" ht="20" customHeight="1">
      <x:c r="A92" s="4"/>
      <x:c r="B92" s="4"/>
      <x:c r="C92" s="4"/>
      <x:c r="D92" s="2"/>
      <x:c r="E92" s="2"/>
      <x:c r="F92" s="2"/>
      <x:c r="G92" s="2"/>
      <x:c r="H92" s="2"/>
      <x:c r="I92" s="2"/>
      <x:c r="J92" s="2"/>
      <x:c r="K92" s="2"/>
      <x:c r="L92" s="2"/>
      <x:c r="M92" s="2"/>
      <x:c r="N92" s="2"/>
      <x:c r="O92" s="2"/>
    </x:row>
    <x:row r="93" ht="20" customHeight="1">
      <x:c r="A93" s="4"/>
      <x:c r="B93" s="4"/>
      <x:c r="C93" s="4"/>
      <x:c r="D93" s="2"/>
      <x:c r="E93" s="2"/>
      <x:c r="F93" s="2"/>
      <x:c r="G93" s="2"/>
      <x:c r="H93" s="2"/>
      <x:c r="I93" s="2"/>
      <x:c r="J93" s="2"/>
      <x:c r="K93" s="2"/>
      <x:c r="L93" s="2"/>
      <x:c r="M93" s="2"/>
      <x:c r="N93" s="2"/>
      <x:c r="O93" s="2"/>
    </x:row>
    <x:row r="94" ht="20" customHeight="1">
      <x:c r="A94" s="4"/>
      <x:c r="B94" s="4"/>
      <x:c r="C94" s="4"/>
      <x:c r="D94" s="2"/>
      <x:c r="E94" s="2"/>
      <x:c r="F94" s="2"/>
      <x:c r="G94" s="2"/>
      <x:c r="H94" s="2"/>
      <x:c r="I94" s="2"/>
      <x:c r="J94" s="2"/>
      <x:c r="K94" s="2"/>
      <x:c r="L94" s="2"/>
      <x:c r="M94" s="2"/>
      <x:c r="N94" s="2"/>
      <x:c r="O94" s="2"/>
    </x:row>
    <x:row r="95" ht="20" customHeight="1">
      <x:c r="A95" s="4"/>
      <x:c r="B95" s="4"/>
      <x:c r="C95" s="4"/>
      <x:c r="D95" s="2"/>
      <x:c r="E95" s="2"/>
      <x:c r="F95" s="2"/>
      <x:c r="G95" s="2"/>
      <x:c r="H95" s="2"/>
      <x:c r="I95" s="2"/>
      <x:c r="J95" s="2"/>
      <x:c r="K95" s="2"/>
      <x:c r="L95" s="2"/>
      <x:c r="M95" s="2"/>
      <x:c r="N95" s="2"/>
      <x:c r="O95" s="2"/>
    </x:row>
    <x:row r="96" ht="20" customHeight="1">
      <x:c r="A96" s="4"/>
      <x:c r="B96" s="4"/>
      <x:c r="C96" s="4"/>
      <x:c r="D96" s="2"/>
      <x:c r="E96" s="2"/>
      <x:c r="F96" s="2"/>
      <x:c r="G96" s="2"/>
      <x:c r="H96" s="2"/>
      <x:c r="I96" s="2"/>
      <x:c r="J96" s="2"/>
      <x:c r="K96" s="2"/>
      <x:c r="L96" s="2"/>
      <x:c r="M96" s="2"/>
      <x:c r="N96" s="2"/>
      <x:c r="O96" s="2"/>
    </x:row>
    <x:row r="97" ht="20" customHeight="1">
      <x:c r="A97" s="4"/>
      <x:c r="B97" s="4"/>
      <x:c r="C97" s="4"/>
      <x:c r="D97" s="2"/>
      <x:c r="E97" s="2"/>
      <x:c r="F97" s="2"/>
      <x:c r="G97" s="2"/>
      <x:c r="H97" s="2"/>
      <x:c r="I97" s="2"/>
      <x:c r="J97" s="2"/>
      <x:c r="K97" s="2"/>
      <x:c r="L97" s="2"/>
      <x:c r="M97" s="2"/>
      <x:c r="N97" s="2"/>
      <x:c r="O97" s="2"/>
    </x:row>
    <x:row r="98" ht="20" customHeight="1">
      <x:c r="A98" s="4"/>
      <x:c r="B98" s="4"/>
      <x:c r="C98" s="4"/>
      <x:c r="D98" s="2"/>
      <x:c r="E98" s="2"/>
      <x:c r="F98" s="2"/>
      <x:c r="G98" s="2"/>
      <x:c r="H98" s="2"/>
      <x:c r="I98" s="2"/>
      <x:c r="J98" s="2"/>
      <x:c r="K98" s="2"/>
      <x:c r="L98" s="2"/>
      <x:c r="M98" s="2"/>
      <x:c r="N98" s="2"/>
      <x:c r="O98" s="2"/>
    </x:row>
    <x:row r="99" ht="20" customHeight="1">
      <x:c r="A99" s="4"/>
      <x:c r="B99" s="4"/>
      <x:c r="C99" s="4"/>
      <x:c r="D99" s="2"/>
      <x:c r="E99" s="2"/>
      <x:c r="F99" s="2"/>
      <x:c r="G99" s="2"/>
      <x:c r="H99" s="2"/>
      <x:c r="I99" s="2"/>
      <x:c r="J99" s="2"/>
      <x:c r="K99" s="2"/>
      <x:c r="L99" s="2"/>
      <x:c r="M99" s="2"/>
      <x:c r="N99" s="2"/>
      <x:c r="O99" s="2"/>
    </x:row>
    <x:row r="100" ht="20" customHeight="1">
      <x:c r="A100" s="4"/>
      <x:c r="B100" s="4"/>
      <x:c r="C100" s="4"/>
      <x:c r="D100" s="2"/>
      <x:c r="E100" s="2"/>
      <x:c r="F100" s="2"/>
      <x:c r="G100" s="2"/>
      <x:c r="H100" s="2"/>
      <x:c r="I100" s="2"/>
      <x:c r="J100" s="2"/>
      <x:c r="K100" s="2"/>
      <x:c r="L100" s="2"/>
      <x:c r="M100" s="2"/>
      <x:c r="N100" s="2"/>
      <x:c r="O100" s="2"/>
    </x:row>
  </x:sheetData>
  <x:mergeCells>
    <x:mergeCell ref="A1:O2"/>
    <x:mergeCell ref="A3:O3"/>
    <x:mergeCell ref="A30:C31"/>
    <x:mergeCell ref="A34:C34"/>
    <x:mergeCell ref="A35:C35"/>
    <x:mergeCell ref="A36:C36"/>
    <x:mergeCell ref="A37:C37"/>
    <x:mergeCell ref="A38:C38"/>
    <x:mergeCell ref="A39:C39"/>
    <x:mergeCell ref="A40:C40"/>
    <x:mergeCell ref="A41:C41"/>
    <x:mergeCell ref="A42:C42"/>
    <x:mergeCell ref="A43:C43"/>
    <x:mergeCell ref="A44:C44"/>
    <x:mergeCell ref="A45:C45"/>
    <x:mergeCell ref="A46:C46"/>
    <x:mergeCell ref="A47:C47"/>
    <x:mergeCell ref="A48:C48"/>
    <x:mergeCell ref="A49:C49"/>
    <x:mergeCell ref="A50:C50"/>
    <x:mergeCell ref="A51:C51"/>
    <x:mergeCell ref="A52:C52"/>
    <x:mergeCell ref="A53:C53"/>
    <x:mergeCell ref="A54:C54"/>
    <x:mergeCell ref="A55:C55"/>
    <x:mergeCell ref="A56:C56"/>
    <x:mergeCell ref="A57:C57"/>
    <x:mergeCell ref="A58:C58"/>
    <x:mergeCell ref="A59:C59"/>
    <x:mergeCell ref="A60:C60"/>
    <x:mergeCell ref="A61:C61"/>
    <x:mergeCell ref="A62:C62"/>
    <x:mergeCell ref="A63:C63"/>
    <x:mergeCell ref="A64:C64"/>
    <x:mergeCell ref="A65:C65"/>
    <x:mergeCell ref="A66:C66"/>
    <x:mergeCell ref="A69:O69"/>
    <x:mergeCell ref="A80:O80"/>
    <x:mergeCell ref="A81:O81"/>
    <x:mergeCell ref="A82:O82"/>
    <x:mergeCell ref="A83:O83"/>
    <x:mergeCell ref="A84:O84"/>
    <x:mergeCell ref="A85:O85"/>
    <x:mergeCell ref="A86:O86"/>
    <x:mergeCell ref="A88:O88"/>
    <x:mergeCell ref="A4:O4"/>
  </x:mergeCells>
  <x:conditionalFormatting sqref="D64:O64">
    <x:cfRule type="expression" dxfId="18" priority="1">
      <x:formula>D64&lt;0</x:formula>
    </x:cfRule>
  </x:conditionalFormatting>
  <x:conditionalFormatting sqref="D66:O66">
    <x:cfRule type="expression" dxfId="50" priority="2">
      <x:formula>D66&lt;&gt;"OK"</x:formula>
    </x:cfRule>
  </x:conditionalFormatting>
  <x:pageMargins left="0.7" right="0.7" top="0.75" bottom="0.75" header="0.3" footer="0.3"/>
  <x:drawing xmlns:r="http://schemas.openxmlformats.org/officeDocument/2006/relationships" r:id="R4cc111d677ed4fe7"/>
  <x:legacyDrawing xmlns:r="http://schemas.openxmlformats.org/officeDocument/2006/relationships" r:id="R3a9b6d7fa05743af"/>
</x:worksheet>
</file>